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19" i="1"/>
  <c r="E119"/>
  <c r="F118"/>
  <c r="E118"/>
  <c r="F117"/>
  <c r="E117"/>
  <c r="F116"/>
  <c r="E116"/>
  <c r="F234"/>
  <c r="F233"/>
  <c r="F232"/>
  <c r="E234"/>
  <c r="E233"/>
  <c r="E232"/>
  <c r="F266"/>
  <c r="F265"/>
  <c r="F264"/>
  <c r="E266"/>
  <c r="E265"/>
  <c r="E264"/>
  <c r="F311"/>
  <c r="E311"/>
  <c r="F310"/>
  <c r="E310"/>
  <c r="F354"/>
  <c r="E354"/>
  <c r="F353"/>
  <c r="E353"/>
  <c r="F386"/>
  <c r="E386"/>
  <c r="F420"/>
  <c r="E420"/>
  <c r="F419"/>
  <c r="E419"/>
  <c r="F471"/>
  <c r="E471"/>
  <c r="F470"/>
  <c r="E470"/>
  <c r="E506"/>
  <c r="F507"/>
  <c r="E507"/>
  <c r="F506"/>
  <c r="F517"/>
  <c r="F516"/>
  <c r="E517"/>
  <c r="E516"/>
  <c r="E543"/>
  <c r="F439"/>
  <c r="E439"/>
  <c r="H435"/>
  <c r="H436"/>
  <c r="G435"/>
  <c r="G436"/>
  <c r="F415"/>
  <c r="E415"/>
  <c r="F414"/>
  <c r="E414"/>
  <c r="F413"/>
  <c r="E413"/>
  <c r="F400"/>
  <c r="E400"/>
  <c r="F398"/>
  <c r="E398"/>
  <c r="F399"/>
  <c r="E399"/>
  <c r="E292"/>
  <c r="F292"/>
  <c r="F261"/>
  <c r="E261"/>
  <c r="H258"/>
  <c r="H259"/>
  <c r="G258"/>
  <c r="G259"/>
  <c r="E250"/>
  <c r="F249"/>
  <c r="E249"/>
  <c r="E248"/>
  <c r="F209"/>
  <c r="E209"/>
  <c r="F208"/>
  <c r="E208"/>
  <c r="F207"/>
  <c r="E207"/>
  <c r="F206"/>
  <c r="E206"/>
  <c r="F205"/>
  <c r="E205"/>
  <c r="F155"/>
  <c r="E155"/>
  <c r="F154"/>
  <c r="E154"/>
  <c r="F153"/>
  <c r="E153"/>
  <c r="F145"/>
  <c r="E145"/>
  <c r="F144"/>
  <c r="E144"/>
  <c r="F143"/>
  <c r="E143"/>
  <c r="F142"/>
  <c r="E142"/>
  <c r="F141"/>
  <c r="E141"/>
  <c r="F140"/>
  <c r="E140"/>
  <c r="F134"/>
  <c r="E134"/>
  <c r="F133"/>
  <c r="E133"/>
  <c r="F132"/>
  <c r="E132"/>
  <c r="F131"/>
  <c r="E131"/>
  <c r="F130"/>
  <c r="E130"/>
  <c r="F129"/>
  <c r="E129"/>
  <c r="F113"/>
  <c r="E113"/>
  <c r="F112"/>
  <c r="E112"/>
  <c r="F111"/>
  <c r="E111"/>
  <c r="F110"/>
  <c r="E110"/>
  <c r="F109"/>
  <c r="E109"/>
  <c r="F108"/>
  <c r="E108"/>
  <c r="F107"/>
  <c r="E107"/>
  <c r="F55"/>
  <c r="E55"/>
  <c r="F50"/>
  <c r="E50"/>
  <c r="F49"/>
  <c r="E49"/>
  <c r="G49" s="1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26"/>
  <c r="E26"/>
  <c r="F25"/>
  <c r="E25"/>
  <c r="F24"/>
  <c r="E24"/>
  <c r="F23"/>
  <c r="E23"/>
  <c r="F22"/>
  <c r="E22"/>
  <c r="F21"/>
  <c r="E21"/>
  <c r="F20"/>
  <c r="E20"/>
  <c r="F219"/>
  <c r="N115"/>
  <c r="N57"/>
  <c r="M57"/>
  <c r="E536"/>
  <c r="E521"/>
  <c r="N262"/>
  <c r="M262"/>
  <c r="M537"/>
  <c r="N530"/>
  <c r="M530"/>
  <c r="M536"/>
  <c r="N351"/>
  <c r="M351"/>
  <c r="N300"/>
  <c r="M300"/>
  <c r="N291"/>
  <c r="M291"/>
  <c r="G291"/>
  <c r="H291" s="1"/>
  <c r="G224"/>
  <c r="H224" s="1"/>
  <c r="F543"/>
  <c r="F539"/>
  <c r="E539"/>
  <c r="N533"/>
  <c r="N532"/>
  <c r="M533"/>
  <c r="M532"/>
  <c r="N529"/>
  <c r="M529"/>
  <c r="M520"/>
  <c r="N520" s="1"/>
  <c r="G156"/>
  <c r="H156" s="1"/>
  <c r="G31"/>
  <c r="G32"/>
  <c r="G34"/>
  <c r="G50"/>
  <c r="F536"/>
  <c r="G533"/>
  <c r="H533" s="1"/>
  <c r="G534"/>
  <c r="H534" s="1"/>
  <c r="G535"/>
  <c r="H535" s="1"/>
  <c r="G532"/>
  <c r="H532" s="1"/>
  <c r="F530"/>
  <c r="E530"/>
  <c r="E537" s="1"/>
  <c r="G529"/>
  <c r="G530" s="1"/>
  <c r="F521"/>
  <c r="G520"/>
  <c r="H520" s="1"/>
  <c r="M488"/>
  <c r="N488" s="1"/>
  <c r="M487"/>
  <c r="N487" s="1"/>
  <c r="G487"/>
  <c r="H487" s="1"/>
  <c r="G488"/>
  <c r="H488" s="1"/>
  <c r="G489"/>
  <c r="H489" s="1"/>
  <c r="G490"/>
  <c r="H490" s="1"/>
  <c r="G486"/>
  <c r="H486" s="1"/>
  <c r="F491"/>
  <c r="E491"/>
  <c r="E504" s="1"/>
  <c r="G379"/>
  <c r="H379" s="1"/>
  <c r="G369"/>
  <c r="H369" s="1"/>
  <c r="G297"/>
  <c r="H297" s="1"/>
  <c r="G298"/>
  <c r="H298" s="1"/>
  <c r="G299"/>
  <c r="H299" s="1"/>
  <c r="M336"/>
  <c r="M114"/>
  <c r="N114" s="1"/>
  <c r="G512"/>
  <c r="F546"/>
  <c r="E546"/>
  <c r="M501"/>
  <c r="N501" s="1"/>
  <c r="E503"/>
  <c r="F503"/>
  <c r="M486"/>
  <c r="N486" s="1"/>
  <c r="M455"/>
  <c r="N455" s="1"/>
  <c r="M456"/>
  <c r="N456" s="1"/>
  <c r="M457"/>
  <c r="N457" s="1"/>
  <c r="M458"/>
  <c r="N458" s="1"/>
  <c r="M454"/>
  <c r="N454" s="1"/>
  <c r="F447"/>
  <c r="E447"/>
  <c r="G445"/>
  <c r="H445" s="1"/>
  <c r="M435"/>
  <c r="M434"/>
  <c r="F537" l="1"/>
  <c r="G537"/>
  <c r="G491"/>
  <c r="H491" s="1"/>
  <c r="G521"/>
  <c r="H529"/>
  <c r="G536"/>
  <c r="H536" s="1"/>
  <c r="F544"/>
  <c r="M439"/>
  <c r="E544"/>
  <c r="M459"/>
  <c r="M468" s="1"/>
  <c r="N491"/>
  <c r="F504"/>
  <c r="A504" s="1"/>
  <c r="G447"/>
  <c r="H447" s="1"/>
  <c r="M414"/>
  <c r="N414" s="1"/>
  <c r="M415"/>
  <c r="N415" s="1"/>
  <c r="M413"/>
  <c r="N413" s="1"/>
  <c r="M404"/>
  <c r="N404" s="1"/>
  <c r="M405"/>
  <c r="N405" s="1"/>
  <c r="N402"/>
  <c r="M399"/>
  <c r="N399" s="1"/>
  <c r="M398"/>
  <c r="N398" s="1"/>
  <c r="E406"/>
  <c r="M380"/>
  <c r="N380" s="1"/>
  <c r="F382"/>
  <c r="E382"/>
  <c r="F373"/>
  <c r="E373"/>
  <c r="N343"/>
  <c r="N344"/>
  <c r="N345"/>
  <c r="N349"/>
  <c r="M348"/>
  <c r="N348" s="1"/>
  <c r="M347"/>
  <c r="N347" s="1"/>
  <c r="M346"/>
  <c r="N346" s="1"/>
  <c r="M342"/>
  <c r="N342" s="1"/>
  <c r="M341"/>
  <c r="N341" s="1"/>
  <c r="E350"/>
  <c r="G342"/>
  <c r="H342" s="1"/>
  <c r="M327"/>
  <c r="M308"/>
  <c r="M297"/>
  <c r="M296"/>
  <c r="N256"/>
  <c r="N255"/>
  <c r="M257"/>
  <c r="M261" s="1"/>
  <c r="G256"/>
  <c r="H256" s="1"/>
  <c r="G257"/>
  <c r="H257" s="1"/>
  <c r="G260"/>
  <c r="H260" s="1"/>
  <c r="G255"/>
  <c r="H255" s="1"/>
  <c r="M248"/>
  <c r="N248" s="1"/>
  <c r="M249"/>
  <c r="N249" s="1"/>
  <c r="M250"/>
  <c r="N250" s="1"/>
  <c r="M247"/>
  <c r="M251" s="1"/>
  <c r="G250"/>
  <c r="H250" s="1"/>
  <c r="G249"/>
  <c r="H249" s="1"/>
  <c r="M206"/>
  <c r="N206" s="1"/>
  <c r="M207"/>
  <c r="N207" s="1"/>
  <c r="M208"/>
  <c r="N208" s="1"/>
  <c r="M209"/>
  <c r="N209" s="1"/>
  <c r="M210"/>
  <c r="N210" s="1"/>
  <c r="M211"/>
  <c r="N211" s="1"/>
  <c r="M212"/>
  <c r="N212" s="1"/>
  <c r="M213"/>
  <c r="N213" s="1"/>
  <c r="M214"/>
  <c r="N214" s="1"/>
  <c r="M215"/>
  <c r="N215" s="1"/>
  <c r="M216"/>
  <c r="N216" s="1"/>
  <c r="M217"/>
  <c r="N217" s="1"/>
  <c r="M218"/>
  <c r="M205"/>
  <c r="N205" s="1"/>
  <c r="M154"/>
  <c r="M155"/>
  <c r="M156"/>
  <c r="M157"/>
  <c r="N157" s="1"/>
  <c r="M158"/>
  <c r="N158" s="1"/>
  <c r="M153"/>
  <c r="N154"/>
  <c r="N155"/>
  <c r="N156"/>
  <c r="N153"/>
  <c r="M141"/>
  <c r="N141" s="1"/>
  <c r="M142"/>
  <c r="N142" s="1"/>
  <c r="M143"/>
  <c r="N143" s="1"/>
  <c r="M144"/>
  <c r="N144" s="1"/>
  <c r="M140"/>
  <c r="N140" s="1"/>
  <c r="F146"/>
  <c r="E146" l="1"/>
  <c r="E159"/>
  <c r="F159"/>
  <c r="G504"/>
  <c r="H504" s="1"/>
  <c r="G413"/>
  <c r="H413" s="1"/>
  <c r="G414"/>
  <c r="H414" s="1"/>
  <c r="G415"/>
  <c r="H415" s="1"/>
  <c r="M350"/>
  <c r="N350" s="1"/>
  <c r="N159"/>
  <c r="G261"/>
  <c r="H261" s="1"/>
  <c r="N257"/>
  <c r="N261" s="1"/>
  <c r="M219"/>
  <c r="N219" s="1"/>
  <c r="G206"/>
  <c r="H206" s="1"/>
  <c r="E251"/>
  <c r="E262" s="1"/>
  <c r="F251"/>
  <c r="F262" s="1"/>
  <c r="M231"/>
  <c r="N231" s="1"/>
  <c r="M159"/>
  <c r="E219"/>
  <c r="G219" s="1"/>
  <c r="N218"/>
  <c r="N247"/>
  <c r="N251" s="1"/>
  <c r="M146"/>
  <c r="N146" s="1"/>
  <c r="M24"/>
  <c r="M25"/>
  <c r="M23"/>
  <c r="F114"/>
  <c r="E57"/>
  <c r="G26"/>
  <c r="M26"/>
  <c r="G25"/>
  <c r="G24"/>
  <c r="G23"/>
  <c r="G22"/>
  <c r="F513"/>
  <c r="F514" s="1"/>
  <c r="E513"/>
  <c r="E514" s="1"/>
  <c r="G513"/>
  <c r="G21" l="1"/>
  <c r="G35"/>
  <c r="G36"/>
  <c r="G37"/>
  <c r="G38"/>
  <c r="G39"/>
  <c r="G40"/>
  <c r="G41"/>
  <c r="G42"/>
  <c r="G43"/>
  <c r="G44"/>
  <c r="G45"/>
  <c r="G46"/>
  <c r="G47"/>
  <c r="G48"/>
  <c r="G416"/>
  <c r="F57"/>
  <c r="G55"/>
  <c r="H55" s="1"/>
  <c r="A514"/>
  <c r="H416"/>
  <c r="E114"/>
  <c r="E51"/>
  <c r="F51"/>
  <c r="G514"/>
  <c r="G454"/>
  <c r="F115" l="1"/>
  <c r="G57"/>
  <c r="E115"/>
  <c r="M400"/>
  <c r="M401"/>
  <c r="N401" s="1"/>
  <c r="M403"/>
  <c r="N403" s="1"/>
  <c r="G399"/>
  <c r="G400"/>
  <c r="G398"/>
  <c r="H398" s="1"/>
  <c r="E383"/>
  <c r="G372"/>
  <c r="H372" s="1"/>
  <c r="G370"/>
  <c r="H370" s="1"/>
  <c r="G371"/>
  <c r="H371" s="1"/>
  <c r="G368"/>
  <c r="H368" s="1"/>
  <c r="M379"/>
  <c r="M368"/>
  <c r="N368" s="1"/>
  <c r="M370"/>
  <c r="N370" s="1"/>
  <c r="M367"/>
  <c r="G341"/>
  <c r="H341" s="1"/>
  <c r="F307"/>
  <c r="E307"/>
  <c r="F300"/>
  <c r="E300"/>
  <c r="M130"/>
  <c r="N130" s="1"/>
  <c r="M131"/>
  <c r="N131" s="1"/>
  <c r="M132"/>
  <c r="N132" s="1"/>
  <c r="M129"/>
  <c r="G115" l="1"/>
  <c r="M373"/>
  <c r="N367"/>
  <c r="N373" s="1"/>
  <c r="M382"/>
  <c r="N379"/>
  <c r="N382" s="1"/>
  <c r="M406"/>
  <c r="N400"/>
  <c r="E308"/>
  <c r="M416"/>
  <c r="N416" s="1"/>
  <c r="M135"/>
  <c r="M160" s="1"/>
  <c r="N129"/>
  <c r="N135" s="1"/>
  <c r="N160" s="1"/>
  <c r="G373"/>
  <c r="H373" s="1"/>
  <c r="G439"/>
  <c r="G114"/>
  <c r="G145"/>
  <c r="H145" s="1"/>
  <c r="G144"/>
  <c r="H144" s="1"/>
  <c r="G131"/>
  <c r="G130"/>
  <c r="G132"/>
  <c r="G129"/>
  <c r="F406"/>
  <c r="E416"/>
  <c r="E417" s="1"/>
  <c r="G381"/>
  <c r="G380"/>
  <c r="G367"/>
  <c r="H367" s="1"/>
  <c r="G325"/>
  <c r="G326"/>
  <c r="G324"/>
  <c r="H439" l="1"/>
  <c r="M417"/>
  <c r="N417" s="1"/>
  <c r="N406"/>
  <c r="M383"/>
  <c r="N383" s="1"/>
  <c r="G406"/>
  <c r="G146"/>
  <c r="G159"/>
  <c r="G296"/>
  <c r="H296" s="1"/>
  <c r="G248"/>
  <c r="H248" s="1"/>
  <c r="G247"/>
  <c r="G207"/>
  <c r="G208"/>
  <c r="G209"/>
  <c r="G205"/>
  <c r="H205" s="1"/>
  <c r="G153"/>
  <c r="H153" s="1"/>
  <c r="G154"/>
  <c r="H154" s="1"/>
  <c r="G155"/>
  <c r="H155" s="1"/>
  <c r="G141"/>
  <c r="H141" s="1"/>
  <c r="G142"/>
  <c r="H142" s="1"/>
  <c r="G143"/>
  <c r="H143" s="1"/>
  <c r="G140"/>
  <c r="H140" s="1"/>
  <c r="G108"/>
  <c r="G109"/>
  <c r="G110"/>
  <c r="G111"/>
  <c r="G113"/>
  <c r="G107"/>
  <c r="H247" l="1"/>
  <c r="G434"/>
  <c r="H434" s="1"/>
  <c r="F467" l="1"/>
  <c r="E467"/>
  <c r="F459"/>
  <c r="F468" s="1"/>
  <c r="E459"/>
  <c r="E468" s="1"/>
  <c r="G459" l="1"/>
  <c r="G468" s="1"/>
  <c r="H468" s="1"/>
  <c r="A363"/>
  <c r="F383" l="1"/>
  <c r="G383" s="1"/>
  <c r="G269" l="1"/>
  <c r="M269"/>
  <c r="M271" s="1"/>
  <c r="G270"/>
  <c r="E271"/>
  <c r="F271"/>
  <c r="G276"/>
  <c r="E277"/>
  <c r="F277"/>
  <c r="M277"/>
  <c r="F280"/>
  <c r="F225"/>
  <c r="F231" s="1"/>
  <c r="E225"/>
  <c r="E231" l="1"/>
  <c r="G225"/>
  <c r="H225" s="1"/>
  <c r="G300"/>
  <c r="G277"/>
  <c r="H277" s="1"/>
  <c r="N277" s="1"/>
  <c r="E280"/>
  <c r="G280" s="1"/>
  <c r="E279"/>
  <c r="G271"/>
  <c r="H271" s="1"/>
  <c r="N271" s="1"/>
  <c r="F279"/>
  <c r="A271"/>
  <c r="F135"/>
  <c r="E135"/>
  <c r="E160" s="1"/>
  <c r="E163" s="1"/>
  <c r="E545" s="1"/>
  <c r="A234" l="1"/>
  <c r="G231"/>
  <c r="G279"/>
  <c r="H279" s="1"/>
  <c r="A280"/>
  <c r="A146"/>
  <c r="F160"/>
  <c r="A159"/>
  <c r="G20"/>
  <c r="H20" s="1"/>
  <c r="M41"/>
  <c r="M37"/>
  <c r="M38"/>
  <c r="M22"/>
  <c r="M21"/>
  <c r="M20"/>
  <c r="M36"/>
  <c r="F416"/>
  <c r="F417" s="1"/>
  <c r="F350"/>
  <c r="F336"/>
  <c r="E336"/>
  <c r="F327"/>
  <c r="G327" s="1"/>
  <c r="H327" s="1"/>
  <c r="E327"/>
  <c r="F282"/>
  <c r="E282"/>
  <c r="M226"/>
  <c r="M279" s="1"/>
  <c r="F195"/>
  <c r="E195"/>
  <c r="F193"/>
  <c r="E193"/>
  <c r="G190"/>
  <c r="G189"/>
  <c r="M188"/>
  <c r="F188"/>
  <c r="F191" s="1"/>
  <c r="E188"/>
  <c r="E191" s="1"/>
  <c r="F184"/>
  <c r="E184"/>
  <c r="M183"/>
  <c r="M182"/>
  <c r="M181"/>
  <c r="M180"/>
  <c r="G180"/>
  <c r="F176"/>
  <c r="E176"/>
  <c r="M175"/>
  <c r="G175"/>
  <c r="M174"/>
  <c r="G174"/>
  <c r="G173"/>
  <c r="M172"/>
  <c r="G172"/>
  <c r="E166"/>
  <c r="F102"/>
  <c r="E102"/>
  <c r="G101"/>
  <c r="M100"/>
  <c r="G100"/>
  <c r="M99"/>
  <c r="G99"/>
  <c r="M98"/>
  <c r="G98"/>
  <c r="M97"/>
  <c r="G97"/>
  <c r="M96"/>
  <c r="G96"/>
  <c r="M95"/>
  <c r="G95"/>
  <c r="G90"/>
  <c r="G89"/>
  <c r="M88"/>
  <c r="G88"/>
  <c r="M87"/>
  <c r="F87"/>
  <c r="F91" s="1"/>
  <c r="E87"/>
  <c r="E91" s="1"/>
  <c r="F83"/>
  <c r="E83"/>
  <c r="M82"/>
  <c r="G82"/>
  <c r="M80"/>
  <c r="M79"/>
  <c r="G79"/>
  <c r="M77"/>
  <c r="G77"/>
  <c r="E73"/>
  <c r="M72"/>
  <c r="M71"/>
  <c r="F71"/>
  <c r="G71" s="1"/>
  <c r="F66"/>
  <c r="G66" s="1"/>
  <c r="G64"/>
  <c r="F62"/>
  <c r="G62" s="1"/>
  <c r="M61"/>
  <c r="G61"/>
  <c r="M59"/>
  <c r="G59"/>
  <c r="E67"/>
  <c r="G54"/>
  <c r="G53"/>
  <c r="F33"/>
  <c r="G33" s="1"/>
  <c r="E33"/>
  <c r="F30"/>
  <c r="G30" s="1"/>
  <c r="E30"/>
  <c r="F29"/>
  <c r="G29" s="1"/>
  <c r="E29"/>
  <c r="F28"/>
  <c r="G28" s="1"/>
  <c r="M11"/>
  <c r="M10"/>
  <c r="M9"/>
  <c r="G160" l="1"/>
  <c r="F163"/>
  <c r="F545" s="1"/>
  <c r="F351"/>
  <c r="E351"/>
  <c r="E542" s="1"/>
  <c r="M51"/>
  <c r="M115" s="1"/>
  <c r="M542" s="1"/>
  <c r="N542" s="1"/>
  <c r="N279"/>
  <c r="A160"/>
  <c r="F166"/>
  <c r="G166" s="1"/>
  <c r="H166" s="1"/>
  <c r="A163"/>
  <c r="E194"/>
  <c r="F67"/>
  <c r="G67" s="1"/>
  <c r="H67" s="1"/>
  <c r="A102"/>
  <c r="G282"/>
  <c r="M73"/>
  <c r="G83"/>
  <c r="H83" s="1"/>
  <c r="G91"/>
  <c r="H91" s="1"/>
  <c r="G193"/>
  <c r="G195"/>
  <c r="E192"/>
  <c r="M67"/>
  <c r="M166"/>
  <c r="M176"/>
  <c r="M184"/>
  <c r="M192"/>
  <c r="E27"/>
  <c r="M83"/>
  <c r="M91"/>
  <c r="G176"/>
  <c r="H176" s="1"/>
  <c r="G184"/>
  <c r="H184" s="1"/>
  <c r="G191"/>
  <c r="H191" s="1"/>
  <c r="A91"/>
  <c r="F281"/>
  <c r="F27"/>
  <c r="G27" s="1"/>
  <c r="F73"/>
  <c r="G73" s="1"/>
  <c r="H73" s="1"/>
  <c r="G87"/>
  <c r="G102"/>
  <c r="H102" s="1"/>
  <c r="A176"/>
  <c r="G188"/>
  <c r="A191"/>
  <c r="M191"/>
  <c r="M102"/>
  <c r="E281"/>
  <c r="F194" l="1"/>
  <c r="G194" s="1"/>
  <c r="G51"/>
  <c r="H51" s="1"/>
  <c r="A51"/>
  <c r="G417"/>
  <c r="F192"/>
  <c r="A193" s="1"/>
  <c r="A166"/>
  <c r="A335"/>
  <c r="G351"/>
  <c r="N73"/>
  <c r="A67"/>
  <c r="N91"/>
  <c r="A389"/>
  <c r="N83"/>
  <c r="N191"/>
  <c r="N67"/>
  <c r="N166"/>
  <c r="N184"/>
  <c r="N176"/>
  <c r="N102"/>
  <c r="G281"/>
  <c r="A73"/>
  <c r="A116" l="1"/>
  <c r="A115"/>
  <c r="G192"/>
  <c r="H192" s="1"/>
  <c r="N192" s="1"/>
  <c r="A279"/>
  <c r="A192" l="1"/>
  <c r="A417"/>
  <c r="A351"/>
  <c r="G292" l="1"/>
  <c r="F308"/>
  <c r="F542" l="1"/>
  <c r="G542" s="1"/>
  <c r="G308"/>
  <c r="H542" l="1"/>
</calcChain>
</file>

<file path=xl/comments1.xml><?xml version="1.0" encoding="utf-8"?>
<comments xmlns="http://schemas.openxmlformats.org/spreadsheetml/2006/main">
  <authors>
    <author>Автор</author>
  </authors>
  <commentList>
    <comment ref="G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Неполное освоение обусловлено снижением посещаемости детьми образовательных учреждений в связи с заболеваниями.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связи с дейстующими ограничениями на отдых детей связаных с COVID-19, был организован отдых только 15 учащихся</t>
        </r>
      </text>
    </comment>
    <comment ref="G2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 за счет проведения торгов на право проведение оценки</t>
        </r>
      </text>
    </comment>
    <comment ref="G2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за счет проведения торгов на право проведение межевых работ</t>
        </r>
      </text>
    </comment>
    <comment ref="G2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проведения торгов</t>
        </r>
      </text>
    </comment>
    <comment ref="G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проведения торгов</t>
        </r>
      </text>
    </comment>
    <comment ref="H4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проведения торгов</t>
        </r>
      </text>
    </comment>
    <comment ref="G5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экономия денежных средств в результате торгов</t>
        </r>
      </text>
    </comment>
  </commentList>
</comments>
</file>

<file path=xl/sharedStrings.xml><?xml version="1.0" encoding="utf-8"?>
<sst xmlns="http://schemas.openxmlformats.org/spreadsheetml/2006/main" count="1161" uniqueCount="823">
  <si>
    <t>№             п/п</t>
  </si>
  <si>
    <t>Наименованиемуниципальной программы,  подпрограммы, мероприятия программы</t>
  </si>
  <si>
    <t>Показатели эффективности реализации программы</t>
  </si>
  <si>
    <t xml:space="preserve">Фактически исполненный           </t>
  </si>
  <si>
    <t>Доля освоения финансовых средств, %</t>
  </si>
  <si>
    <t>Оценка эффективности использования бюджетных средств, балл</t>
  </si>
  <si>
    <t>Наименование показателя</t>
  </si>
  <si>
    <t>Ед.       измерения</t>
  </si>
  <si>
    <t xml:space="preserve">Утвержденный план             </t>
  </si>
  <si>
    <t xml:space="preserve">Фактическое значение  </t>
  </si>
  <si>
    <t>1.</t>
  </si>
  <si>
    <t>1. Доля численности обучающихся в образовательных организациях общего образования, обучающихся в соответствии с новыми федеральными государственными образовательными стандартами (в общей численности обучающихся в организациях общего образования)</t>
  </si>
  <si>
    <t>%</t>
  </si>
  <si>
    <t>2. Отношение средней заработной платы педагогических работников общеобразовательных организаций к средней заработной плате в автономном округе (указ Президента Российской Федерации от 07 мая 2012 года № 597)</t>
  </si>
  <si>
    <t>3. Отношение средней заработной платы педагогических работников дошкольных образовательных организаций к средней заработной плате в сфере общего образования в автономном округе (указ Президента Российской Федерации от 07 мая 2012 года № 597)</t>
  </si>
  <si>
    <t>МБ</t>
  </si>
  <si>
    <t>ОБ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</si>
  <si>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</si>
  <si>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Предоставление общего и бесплатного образования (обучения и воспитания) детей с отклонениями в развитии и (или) в состоянии здоровья по основным общеобразовательным программам и программам коррекционного обучения</t>
  </si>
  <si>
    <t>Предоставление услуг дополнительного образования</t>
  </si>
  <si>
    <t>Задача 2: Подготовка специалистов в образовательных организациях высшего образования</t>
  </si>
  <si>
    <t>Итого по подпрограмме 1</t>
  </si>
  <si>
    <t>1.2.1</t>
  </si>
  <si>
    <t>ед.</t>
  </si>
  <si>
    <t>Итого по подпрограмме 2</t>
  </si>
  <si>
    <t>1.3.2.</t>
  </si>
  <si>
    <t>Реализация инновационной деятельности в системе образования</t>
  </si>
  <si>
    <t xml:space="preserve">2. Доля образовательных организаций, реализующих образовательные проекты в режиме инновационных площадок </t>
  </si>
  <si>
    <t>Задача 3: Создание условий для поддержки талантливых детей</t>
  </si>
  <si>
    <t>1.3.3</t>
  </si>
  <si>
    <t>Поддержка талантливых детей и молодежи, развитие творческих и интеллектуальных способностей учащихся. Проведение конкурсов, фестивалей, акций</t>
  </si>
  <si>
    <t>3. Доля обучающихся, ставших победителями и призерами очных региональных и всероссийских творческих, интеллектуальных, технических, социальных, экологических и др. конкурсных мероприятий</t>
  </si>
  <si>
    <t>1.3.4.</t>
  </si>
  <si>
    <t>Специальная оценка условий труда</t>
  </si>
  <si>
    <t>Задача 4: Содействие развитию профессионального мастерства педагогических и руководящих кадров</t>
  </si>
  <si>
    <t>1.3.5.</t>
  </si>
  <si>
    <t>Проведение  и участие в мероприятиях с привлечением педагогических работников системы образования города</t>
  </si>
  <si>
    <t>Задача 5: Создание безбарьерной среды, обеспечивающей доступ в образовательные организации детей с ограниченными возможностями и их социализацию в общество</t>
  </si>
  <si>
    <t>1.3.6.</t>
  </si>
  <si>
    <t>Осуществление мероприятий по созданию в образовательных организациях без барьерной среды</t>
  </si>
  <si>
    <t>Итого по подпрограмме 3</t>
  </si>
  <si>
    <t xml:space="preserve">Подпрограмма 4. "Совершенствование организации горячего питания обучающихся общеобразовательных учреждений"
</t>
  </si>
  <si>
    <t>Цель: Сохранение и укрепление здоровья обучающихся путем организации качественного, сбалансированного питания в школах</t>
  </si>
  <si>
    <t xml:space="preserve">Задача 1. Обеспечение обучающихся общеобразовательных организаций питанием высокого качества и безопасности </t>
  </si>
  <si>
    <t>1.4.1</t>
  </si>
  <si>
    <t xml:space="preserve">Организация горячего питания 
обучающихся в общеобразовательных организациях
</t>
  </si>
  <si>
    <t>1. Доля общеобразовательных организаций (от общего числа общеобразовательных организаций), в которых обеспечена возможность пользоваться современными столовыми</t>
  </si>
  <si>
    <t>2. Доля обучающихся в общеобразовательных организациях (от общей численности обучающихся в общеобразовательных организациях), которые получают качественное горячее питание</t>
  </si>
  <si>
    <t>Итого по подпрограмме 4</t>
  </si>
  <si>
    <t xml:space="preserve">Подпрограмма 5. "Реализация приоритетного национального проекта "Образование"
</t>
  </si>
  <si>
    <t>Цель: Создание условий для удовлетворения потребностей жителей города в качественном образовании путем реализации приоритетного национального
проекта «Образование»</t>
  </si>
  <si>
    <t>Задача 1. Стимулирование образовательных организаций, активно внедряющих образовательные технологии (гранты Главы города лучшим организациям)</t>
  </si>
  <si>
    <t>1.5.1</t>
  </si>
  <si>
    <t>Организация работы по присуждению гранта Главы города лучшей общеобразовательной организации</t>
  </si>
  <si>
    <t>1. Количество образовательных организаций, участвующих в конкурсном отборе на присуждение   грантов Главы города</t>
  </si>
  <si>
    <t>Задача 2. Поддержка талантливой молодежи (в том числе гранты Главы города)</t>
  </si>
  <si>
    <t>1.5.2</t>
  </si>
  <si>
    <t>Организация  работы по присуждению грантов Главы города талантливой молодежи</t>
  </si>
  <si>
    <t>2.  Доля обучающихся и воспитанников, получивших поощрение в различных формах, от общего их числа</t>
  </si>
  <si>
    <t>3. Доля детей, привлекаемых к участию в творческих, интеллектуальных, спортивных мероприятиях, от общего числа детей, обучающихся в образовательных организациях</t>
  </si>
  <si>
    <t>Задача 3. Поощрение лучших учителей</t>
  </si>
  <si>
    <t>1.5.3</t>
  </si>
  <si>
    <t>Организация  работы по присуждению грантов Главы города лучшим педагогам</t>
  </si>
  <si>
    <t>4. Доля педагогов, участвующих в диссеминации собственного опыта</t>
  </si>
  <si>
    <t>Итого по подпрограмме 5</t>
  </si>
  <si>
    <t xml:space="preserve">Подпрограмма 6 "Обеспечение  реализации муниципальной программы "Развитие образования на 2014 -2020 годы"
</t>
  </si>
  <si>
    <t>Цель: Финансовое, организационно-методическое, информационно-техническое обеспечение реализации муниципальной программы</t>
  </si>
  <si>
    <t>Задача. Обеспечение деятельности аппарата и отделов Управления образования</t>
  </si>
  <si>
    <t>1.6.1</t>
  </si>
  <si>
    <t>Расходы на руководство и управление в сфере установленных функций</t>
  </si>
  <si>
    <t>1. Укомплектованность высококвалифицированными кадрами МУ «Управление образования Администрации города Губкинского»</t>
  </si>
  <si>
    <t xml:space="preserve">2. Освоение денежных средств, утвержденных на реализацию программных мероприятий </t>
  </si>
  <si>
    <t>1.6.2</t>
  </si>
  <si>
    <t>Расходы на экономическое, бухгалтерское и организационно-техническое сопровождение</t>
  </si>
  <si>
    <t>Итого по подпрограмме 6</t>
  </si>
  <si>
    <t>Подпрограмма 7. "Обеспечение мер социальной поддержки в сфере образования"</t>
  </si>
  <si>
    <t>Цель: Развитие системы государственной поддержки в системе образования</t>
  </si>
  <si>
    <t>Задача : Исполнение переданных полномочий в части обеспечения мер социальной поддержки</t>
  </si>
  <si>
    <t>1.7.1</t>
  </si>
  <si>
    <t>Ежемесячные пособия молодым специалистам</t>
  </si>
  <si>
    <t>1. Доля учителей общеобразовательных организаций в возрасте до 35 лет, в общей численности учителей общеобразовательных организаций</t>
  </si>
  <si>
    <t>1.7.2</t>
  </si>
  <si>
    <t>Единовременное пособие молодым специалистам муниципальных организаций</t>
  </si>
  <si>
    <t>2. Доля педагогических работников, получивших единовременные пособия в качестве молодых специалистов, от общего числа обратившихся, имеющих право на льготу</t>
  </si>
  <si>
    <t>1.7.3</t>
  </si>
  <si>
    <t>Единовременные пособия при назначении страховой пенсии по старости</t>
  </si>
  <si>
    <t>3. Доля детей, оставшихся без попечения родителей, получающих компенсацию (0 – 18 лет), от общего количества обратившихся, имеющих право на компенсацию</t>
  </si>
  <si>
    <t>1.7.4</t>
  </si>
  <si>
    <t>Социальная поддержка и социальное обслуживание  детей - сирот и детей, оставшихся без попечения родителей</t>
  </si>
  <si>
    <t>4. Доля воспитанников, чьи родители получают ежемесячную компенсацию родительской платы за содержание ребёнка в государственных и муниципальных образовательных организациях, от общей численности воспитанников</t>
  </si>
  <si>
    <t>1.7.5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</si>
  <si>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</si>
  <si>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5. Доля педагогических работников, получивших пособие при назначении трудовой пенсии по старости в общем количестве работников уходящих на пенсию, имеющих право на выплату</t>
  </si>
  <si>
    <t>1.7.6</t>
  </si>
  <si>
    <t>Ежемесячная компенсационная выплата одному из родителей на ребенка в возрасте от полутора до пяти лет, не посещающего дошкольное образовательное учреждение в автономном округе</t>
  </si>
  <si>
    <t>6. Доля детей, чьи родители получают ежемесячные выплаты на ребёнка, не посещающего дошкольную образовательную организацию, от общей численности детей, чьи родители обратились за выплатой</t>
  </si>
  <si>
    <t>1.7.7</t>
  </si>
  <si>
    <t>Социальная поддержка и социальное обслуживание детей-сирот и детей, оставшихся без попечения родителей, в приемных семьях</t>
  </si>
  <si>
    <t>Итого по подпрограмме 7</t>
  </si>
  <si>
    <t>средства местного бюджета</t>
  </si>
  <si>
    <t>средства окружного бюджета</t>
  </si>
  <si>
    <t>2.</t>
  </si>
  <si>
    <t>Подпрограмма 2. «Модернизация и развитие социального обслуживания населения на 2014-2020 годы» (не финансировалась)</t>
  </si>
  <si>
    <t>Подпрограмма 3. «Создание условий для обеспечения реализации муниципальной  программы «Социальная поддержка граждан на 2014-2020 годы»</t>
  </si>
  <si>
    <t>Цель:   Повышение эффективности управления в сфере социальной поддержки и социального обслуживания</t>
  </si>
  <si>
    <t>Задача : Кадровое, нормативно-правовое и финансовое обеспечение муниципальной программы</t>
  </si>
  <si>
    <t>Основное мероприятие: Обеспечение исполнения функций в установленной сфере деятельности</t>
  </si>
  <si>
    <t>2.3.1</t>
  </si>
  <si>
    <t xml:space="preserve">Осуществление отдельных государственных полномочий Ямало-Ненецкого автономного округа в сфере социальной поддержки и социального обслуживания  </t>
  </si>
  <si>
    <t xml:space="preserve">1. Укомплектованность Управления квалифицированными кадрами
</t>
  </si>
  <si>
    <t>100</t>
  </si>
  <si>
    <t>2.3.2</t>
  </si>
  <si>
    <t>Осуществление государственных полномочий Ямало-Ненецкого автономного округа по организации и осуществлению деятельности по опеке и попечительству над совершеннолетними недееспособными гражданами</t>
  </si>
  <si>
    <t>2. Количество обоснованных жалоб от населения</t>
  </si>
  <si>
    <t>0</t>
  </si>
  <si>
    <t>2.3.3</t>
  </si>
  <si>
    <t>Обеспечение деятельности органов местного самоуправления</t>
  </si>
  <si>
    <t>3. Доля обращений граждан, рассмотренных в установленные законодательством сроки, от общего количества обращений</t>
  </si>
  <si>
    <t>2.3.4</t>
  </si>
  <si>
    <t>Осуществление капитального ремонта МУ «УТиСЗН», ремонт автомобиля</t>
  </si>
  <si>
    <t xml:space="preserve">4. Удельный вес совершеннолетних недееспособных граждан, находящихся под опекой
</t>
  </si>
  <si>
    <t>Подпрограмма 4. «Совершенствование системы охраны труда на 2014-2020 годы»</t>
  </si>
  <si>
    <t xml:space="preserve">Цель: Обеспечение безопасных условий и охраны труда в организациях </t>
  </si>
  <si>
    <t>Задача: Содействие  сторонам социального партнерства в организации работ по охране труда</t>
  </si>
  <si>
    <t>2.4.1</t>
  </si>
  <si>
    <t>Улучшение условий и охраны труда в организациях,направленное на снижение профессиональных рисков</t>
  </si>
  <si>
    <t>1. Удельный вес работников, охваченных периодическими медицинскими осмотрами</t>
  </si>
  <si>
    <t>2. Удельный вес работников, обученных по охране труда</t>
  </si>
  <si>
    <t>3. Численность пострадавших в результате несчастных случаев на производстве в расчете на 1 тыс. работающих</t>
  </si>
  <si>
    <t>4. Удельный вес проведённых уведомительных регистраций коллективных договоров и дополнитель
ных соглашений к ним в установленный срок к общему количеству обращений, поступивших на уведомительную регистрацию</t>
  </si>
  <si>
    <t>Подпрограмма 5. «Совершенствование социальной поддержки семей и детей на 2014-2020 годы»</t>
  </si>
  <si>
    <t>Цель: Содействие улучшению демографической ситуации в городе, укреплению института семьи, повышению статуса материнства, отцовства и детства, профилактике семейного и детского неблагополучия, социального сиротства</t>
  </si>
  <si>
    <t>Задача: Создание условий для развития творческого потенциала семей и детей</t>
  </si>
  <si>
    <t>2.5.1</t>
  </si>
  <si>
    <t>Организация и проведение на территории муниципального образования город Губкинский, мероприятий, приуроченных к Международному дню семьи, Международному дню защиты детей, Дню матери, Дню семьи, любви и верности</t>
  </si>
  <si>
    <t xml:space="preserve">1. Удельный вес граждан, охваченных мероприятиями, приуроченными к Международному дню семьи, Международному дню защиты детей, Дню матери, Дню семьи, любви и верности от общей численности населения города
</t>
  </si>
  <si>
    <t>Итого по программе 2</t>
  </si>
  <si>
    <t>Оценка степени достижения показателей программы 2</t>
  </si>
  <si>
    <t>средства федерального бюджета</t>
  </si>
  <si>
    <t>3.</t>
  </si>
  <si>
    <t>Муниципальная программа "Доступная среда на 2014-2020 годы" (не финансировалась)</t>
  </si>
  <si>
    <t>4.</t>
  </si>
  <si>
    <t xml:space="preserve">кол-во
семей
</t>
  </si>
  <si>
    <t>Возмещение затрат по содержанию   незаселенных  жилых  помещений  муниципального жилищного фонда</t>
  </si>
  <si>
    <t>4.6.1</t>
  </si>
  <si>
    <t>Возмещение затрат по содержанию и текущему ремонту незаселенных жилых помещений муниципального жилищного фонда</t>
  </si>
  <si>
    <t>1. Обеспечение субсидирования содержания незаселенного муниципального жилищного фонда</t>
  </si>
  <si>
    <t>4.6.2</t>
  </si>
  <si>
    <t xml:space="preserve">Возмещение затрат по предоставлению коммунальной услуги (отопление) по незаселенному муниципальному жилищному фонду  </t>
  </si>
  <si>
    <t>Подпрограмма 7. "Обеспечение коммунальными услугами населения города Губкинского на 2014 - 2020 годы" (не реализовывалась)</t>
  </si>
  <si>
    <t>Подпрограмма 8. "Развитие систем коммунальной инфраструктуры города Губкинского на 2014-2020 годы"</t>
  </si>
  <si>
    <t>Цель : Обеспечение готовности коммунальных систем жизнеобеспечения к осеннее – зимнему периоду</t>
  </si>
  <si>
    <t>Задача: Проведение комплекса мероприятий по ремонту, замене и реконструкции объектов коммунальной инфраструктуры</t>
  </si>
  <si>
    <t>4.8.1</t>
  </si>
  <si>
    <t>Капитальный ремонт и ремонт объектов энергетики и коммунального комплекса</t>
  </si>
  <si>
    <t>1. Доля протяженности отремонтированных электросетей</t>
  </si>
  <si>
    <t>Итого по подпрограмме 8</t>
  </si>
  <si>
    <t>Подпрограмма 9. "Замена лифтового оборудования, признанного непригодным к эксплуатации, в многоквартирных домах, расположенных на территории муниципального образования город Губкинский  на 2014 -2020 годы"(не финансировалась)</t>
  </si>
  <si>
    <t>Итого по муниципальной программе 4</t>
  </si>
  <si>
    <t>Оценка степени достижения показателей программы 4</t>
  </si>
  <si>
    <t>в т.ч. средства местного бюджета</t>
  </si>
  <si>
    <t>Итого по продпрограмме 1</t>
  </si>
  <si>
    <t>Итого по продпрограмме 3</t>
  </si>
  <si>
    <t>Итого по муниципальной программе 6</t>
  </si>
  <si>
    <t>чел.</t>
  </si>
  <si>
    <t>8.</t>
  </si>
  <si>
    <t>Итого по продпрограмме 2</t>
  </si>
  <si>
    <t>экз.</t>
  </si>
  <si>
    <t>Цель: Обеспечение высокого качества образования, соответствующего потребностям граждан и перспективным задачам развития экономики Бирилюсского района, государственная поддержка детей-сирот, детей, оставшихся без попечения родителей, отдых и оздоровление детей в летний период</t>
  </si>
  <si>
    <t xml:space="preserve">Подпрограмма 1. "Развитие  дошкольного, общего и  дополнительного образования детей "
</t>
  </si>
  <si>
    <t>Задача 2: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</si>
  <si>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Задача 3: Обеспечить поступательное развитие районной системы дополнительного образования за счет разработки и реализации современных образовательных программ, дистанционных и сетевых форм их реализации</t>
  </si>
  <si>
    <t>Задача 4: Содействовать выявлению и поддержке одаренных детей</t>
  </si>
  <si>
    <t xml:space="preserve">Задача 5: Обеспечить безопасный, качественный отдых и оздоровление детей в летний период </t>
  </si>
  <si>
    <t>Цель: развитие семейных форм воспитания детей-сирот и детей, оставшихся без попечения родителей, оказание муниципальной поддержки детям-сиротам и детям, оставшимся без попечения родителей, а также лицам из их числа.</t>
  </si>
  <si>
    <t>Задача1:Обеспечить реализацию мероприятий, направленных на развитие в Бирилюсском районе семейных форм воспитания детей-сирот и детей, оставшихся без попечения родителей;</t>
  </si>
  <si>
    <t xml:space="preserve">Численность детей-сирот,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помещениями </t>
  </si>
  <si>
    <t>Задача 1: Организация деятельности аппарата Управления и учреждений, обеспечивающих деятельность образовательных учреждений, направленной на эффективное управление отраслью;</t>
  </si>
  <si>
    <t>Задача 2: Обеспечение соблюдения требований законодательства Российской Федерации в сфере образования организациями, осуществляющими образовательную деятельность на территории Бирилюсского района (за исключением случаев, установленных федеральным законодательством), а также органами местного самоуправления, осуществляющими управление в сфере образования на территории Бирилюсского района</t>
  </si>
  <si>
    <t>1.Соблюдение сроков предоставления годовой бюджетной отчетности (Управление образования администрации Бирилюсского  района)</t>
  </si>
  <si>
    <t>2.Своевременность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Бирилюсского района, осуществляющими функции и полномочия учредителя (Управление образования администрации Бирилюсского района)</t>
  </si>
  <si>
    <t>3.Своевременность представления уточненного фрагмента реестра расходных обязательств Главного распорядителя (Управление образования администрации Бирилюсского района)</t>
  </si>
  <si>
    <t xml:space="preserve">Итого по  подпрограмме 4  </t>
  </si>
  <si>
    <t xml:space="preserve">Цель: Создание условий для эффективного управления </t>
  </si>
  <si>
    <t>Итого по подпраграмме 2</t>
  </si>
  <si>
    <t>Цель: Создание условий для развития потенциала молодежи и его реализации в интересах развития муниципального образования Бирилюсский район.</t>
  </si>
  <si>
    <t>Цель: Создание условий для развития молодежной политики и  реализации мероприятий  в интересах развития  муниципального образования Бирилюсский район.</t>
  </si>
  <si>
    <t>Задача 1: Создание условий для дальнейшего развития и совершенствования системы патриотического воспитания</t>
  </si>
  <si>
    <t>Задача 2: Информирование подростков и молодежи о потенциальных возможностях развития и занятости; оказание содействия трудоустройству;</t>
  </si>
  <si>
    <t>Задача 3: Поддержка одаренной и талантливой молодежи;</t>
  </si>
  <si>
    <t>Задача 4: Поддержка развития флагманских программ в Бирилюсском районе, реализуемых многопрофильным молодежным центром Бирилюсского района для вовлечения молодежи от 14 до 30 лет</t>
  </si>
  <si>
    <t xml:space="preserve">Подпрограмма 1. «Развитие молодежной политики  на территории  Бирилюсского района» </t>
  </si>
  <si>
    <t xml:space="preserve">Цель: Государственная поддержка в решении жилищной проблемы молодых семей, признанных в установленном порядке нуждающимися в улучшении жилищных условий                               </t>
  </si>
  <si>
    <t>Задача 1: 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</si>
  <si>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 xml:space="preserve">Задача 2: Создание условий для привлечения молодыми семьями собственных средств, финансовых средств кредитных организаций и других организаций, предоставляющих кредиты и займы, в том числе ипотечные жилищные кредиты, для приобретения жилья или строительства индивидуального жилого дома                                            </t>
  </si>
  <si>
    <t xml:space="preserve">ед.
</t>
  </si>
  <si>
    <t>чел</t>
  </si>
  <si>
    <t>Итого по подпраграмме 1</t>
  </si>
  <si>
    <t xml:space="preserve">Итого по программе 3, в т.ч. </t>
  </si>
  <si>
    <t>Оценка степени достижения показателя программы</t>
  </si>
  <si>
    <t xml:space="preserve">             Подпрограмма 2. "Обеспечение жильем молодых семей Бирилюсского района</t>
  </si>
  <si>
    <t>Подпрограмма 2. "Развитие   спортивной подготовки в Бирилюсском районе""</t>
  </si>
  <si>
    <t>Цель:Формирование цельной системы подготовки спортивного резерва</t>
  </si>
  <si>
    <t>Задача 1. Формирование единой системы поиска, выявления и поддержки одаренных детей, повышение качества управления подготовкой спортивного резерва;</t>
  </si>
  <si>
    <t>Задача 2. Развитие кадровой политики подготовки спортивного резерва;</t>
  </si>
  <si>
    <t>Задача 3. Совершенствование системы мероприятий, направленных на поиск и поддержку талантливых, одаренных детей</t>
  </si>
  <si>
    <t xml:space="preserve">2.Количество детей обучающихся, занимающихся  в учреждениях в области  физической культуры и спорта на территории Бирилюсского района.   </t>
  </si>
  <si>
    <t>Цель:Обеспечение условий, способствующих созданию безопасного проживания граждан  в Бирилюсском районе</t>
  </si>
  <si>
    <t xml:space="preserve">Задача 1:. Обеспечение функционирования единой дежурной диспетчерской службы Бирилюсского района; </t>
  </si>
  <si>
    <t>Задача 2:Снижение рисков и смягчение последствий чрезвычайных ситуаций природного и техногенного характера в районе;</t>
  </si>
  <si>
    <t>Цель1:Обеспечение функционирования единой дежурной диспетчерской службы Бирилюсского района</t>
  </si>
  <si>
    <t>Цель2:Снижение рисков и смягчение последствий чрезвычайных ситуаций природного и техногенного характера в районе.</t>
  </si>
  <si>
    <t>Задача 1:Обеспечение условий для беспрепятственного приема от населения, а также от других источников сообщений от любых происшествиях, несущих информацию об угрозе или факте возникновения ЧС природного, техногенного или биолого-социального характера;</t>
  </si>
  <si>
    <t>Задача 2:Обеспечение контроля за наличием связи с наиболее важными объектами и взамодействующими службами;</t>
  </si>
  <si>
    <t>Задача 3: Материальное обеспечение деятельности ЕДДС;</t>
  </si>
  <si>
    <t>Задача 4:Обеспечение сельских поселений первичными мерами пожарной безопасности.</t>
  </si>
  <si>
    <t>мин</t>
  </si>
  <si>
    <t>раз/в год</t>
  </si>
  <si>
    <t>Цель: Усиление мер по защите населения, объектов первоочередной антитеррористической защиты, расположенных на территории района, от террористической угрозы, своевременное предупреждение, выявление и пресечение террористической и экстремистской деятельности.</t>
  </si>
  <si>
    <t>Задача 1:Совершенствование систем технической защиты критически важных объектов и мест массового скопления людей, которые могут быть избраны террористами в качестве потенциальных целей преступных посягательств;</t>
  </si>
  <si>
    <t>Задача 2: Усиление воспитательной, пропагандистской работы с населением в области, направленной на предупреждение террористической и экстремистской деятельности, повышение бдительности</t>
  </si>
  <si>
    <t xml:space="preserve">Несанкционированные проникновения на административные объекты </t>
  </si>
  <si>
    <t xml:space="preserve">Количество проведённых лекций, занятий на тематику в области антитеррористической защиты населения </t>
  </si>
  <si>
    <t>Качество фиксаций  видеоаппаратурой случаев несанкционированного проникновения  на объекты с массовым пребыванием людей, отсутствие сбоев работы аппаратуры</t>
  </si>
  <si>
    <t>Итого по муниципальной программе 5</t>
  </si>
  <si>
    <t>Цель: Обеспечение долгосрочной сбалансированности и устойчивости бюджетной системы Бирилюсского района, повышение качества и прозрачности управления муниципальными финансами</t>
  </si>
  <si>
    <t>Задача 1: 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бюджетов;</t>
  </si>
  <si>
    <t>Задача 2: Эффективное управление муниципальным долгом Бирилюсского района;</t>
  </si>
  <si>
    <t>Задача 3:Обеспечение своевременного осуществления внутреннего  муниципального финансового контроля за соблюдением законодательства в финансово-бюджетной сфере;</t>
  </si>
  <si>
    <t xml:space="preserve">Задача 4:Создание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повышения эффективности расходов местного  бюджета  </t>
  </si>
  <si>
    <t>Задача 1:Создание условий для обеспечения финансовой устойчивости бюджетов поселений;</t>
  </si>
  <si>
    <t>Задача 2:Повышение качества реализации органами местного самоуправления закрепленных за ними полномочий;</t>
  </si>
  <si>
    <t>1. Минимальный размер бюджетной обеспеченности муниципальных образований Бирилюсского района после выравнивания</t>
  </si>
  <si>
    <t>2.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</si>
  <si>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тыс руб.</t>
  </si>
  <si>
    <t>тыс. руб.</t>
  </si>
  <si>
    <t>Цель: Обеспечение равных условий для устойчивого и эффективного исполнения расходных обязательств поселений района, обеспечение сбалансированности и повышение финансовой самостоятельности местных бюджетов</t>
  </si>
  <si>
    <t>Подпрограмма 1: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Бирилюсского района»</t>
  </si>
  <si>
    <t>Подпрограмма 2: «Управление муниципальным долгом Бирилюсского района»</t>
  </si>
  <si>
    <t>Цель: Эффективное управление муниципальным  долгом Бирилюсского района</t>
  </si>
  <si>
    <t>Задача 1:Сохранение объема и структуры муниципального долга на экономически безопасном уровне</t>
  </si>
  <si>
    <t>Задача 2:Соблюдение ограничений по объему муниципального  долга и расходам на его обслуживание установленных федеральным законодательством;</t>
  </si>
  <si>
    <t>Задача 3:Обслуживание муниципального  долга</t>
  </si>
  <si>
    <t>3.Просроченная задолженность по долговым обязательствам Бирилюсского района</t>
  </si>
  <si>
    <t>тыс.руб.</t>
  </si>
  <si>
    <t>не более 50</t>
  </si>
  <si>
    <t>Подпрограмма 3: "Обеспечение реализации муниципальной программы и прочие мероприятия"</t>
  </si>
  <si>
    <t>Цель:Обеспечение реализации муниципальной программы и прочие мероприятия</t>
  </si>
  <si>
    <t>Задача 1:Повышение качества планирования и управления муниципальными финансами, развитие программно-целевых принципов формирования бюджета, а также содействие совершенствованию кадрового потенциала муниципальной  финансовой системы Бирилюсского района;</t>
  </si>
  <si>
    <t>Задача 2:Обеспечение доступа для граждан к информации о районном бюджете и бюджетном процессе в компактной и доступной форме</t>
  </si>
  <si>
    <t>1.Доля расходов районного бюджета, формируемых в рамках муниципальных программ Бирилюсского района</t>
  </si>
  <si>
    <t>2.Обеспечение исполнения расходных обязательств района ( без безвозмездных поступлений)</t>
  </si>
  <si>
    <t>3.Доля полученных заключенний Экспертного совета,осуществляющего проведение публичной независимой экспертизы проектов решений районного Совета депутатов Бирилюсского района в области бюджетной и налоговой политики</t>
  </si>
  <si>
    <t>4.Доля рассмотренных на заседаниях общественного совета при Финансовом управлении проектов нормативных правовых актов,касающихся принятия районного бюджета ,внесения в него изменений, а также утверждения отчета об его исполнении, подготавливаемых Финансовым управлением</t>
  </si>
  <si>
    <t>5.Размещение на официальном сайте  Бирилюсского района буклета «Путеводитель по бюджету Бирилюсского района»</t>
  </si>
  <si>
    <t>6.Доля районных казенных учреждений, которым доводится муниципальное задание</t>
  </si>
  <si>
    <t>не мен. 90</t>
  </si>
  <si>
    <t>не мен.95</t>
  </si>
  <si>
    <t>1. Оформление земельных участков, регистрация права собственности</t>
  </si>
  <si>
    <t xml:space="preserve">Задача 1:Обеспечение государственной регистрации прав муниципальной собственности на имущественный комплекс (объекты, земли),
</t>
  </si>
  <si>
    <t>Задача 2:Обеспечение государственной регистрации права оперативного управления, хозяйственного ведения, аренды, безвозмездного пользования имуществом,</t>
  </si>
  <si>
    <t>Задача 3:Обеспечение государственной регистрации права постоянного (бессрочного) пользования, аренды  земельными участками;</t>
  </si>
  <si>
    <t>Цель 2:Формирование целостности и эффективной системы управления энергосбережением и повышением энергетической эффективности.</t>
  </si>
  <si>
    <t>Цель 1: Обеспечение населения края качественными жилищно-коммунальными услугами в условиях развития рыночных отношений в отрасли и ограниченного роста оплаты жилищно-коммунальных услуг</t>
  </si>
  <si>
    <t>Задача 1.  Развитие, модернизация и капитальный ремонт объектов коммунальной инфраструктуры и жилищного фонда Бирилюсского района;</t>
  </si>
  <si>
    <t>Задача 2. Внедрение рыночных механизмов жилищно-коммунального хозяйства и обеспечение доступности предоставляемых коммунальных услуг;</t>
  </si>
  <si>
    <t>Задача 3. Предупреждение ситуаций, которые могут привести к нарушению функционирования систем жизнеобеспечения населения;</t>
  </si>
  <si>
    <t>Подпрограмма 1. «Модернизация, реконструкция и капитальный ремонт объектов коммунальной инфраструктуры Бирилюсского района"</t>
  </si>
  <si>
    <t>Цель: Повышение надежности функционирования систем жизнеобеспечения населения</t>
  </si>
  <si>
    <t>Задача 1: Обеспечение безопасного функционирования энергообъектов и обновление материально-технической базы предприятий коммунального комплекса;</t>
  </si>
  <si>
    <t>Задача 4. Повышение энергосбережения и энергоэффективности</t>
  </si>
  <si>
    <t>Задача 2: Внедрение новых технологий, современной трубной продукции, котельного оборудования, водоочистных установок на объектах коммунального комплекса Красноярского края</t>
  </si>
  <si>
    <t>Подпрограмма 2. «Чистая вода Бирилюсского района»</t>
  </si>
  <si>
    <t>Цель: Обеспечение населения питьевой водой, соответствующей требованиям безопасности и безвредности, установленным санитарно-эпидемиологическими правилами</t>
  </si>
  <si>
    <t>Задача 1: Модернизация систем водоснабжения, водоотведения и очистки сточных вод Бирилюсского района;</t>
  </si>
  <si>
    <t>Задача 2: Создание условий для привлечения инвестиций для развития систем водоснабжения, водоотведения и очистки сточных вод Бирилюсского района;</t>
  </si>
  <si>
    <t>Задача 3: Развитие государственно-частного партнерства в сфере эксплуатации систем  водоснабжения, водоотведения и очистки сточных вод Бирилюсского района на основе концессионных соглашений.</t>
  </si>
  <si>
    <t xml:space="preserve">Подпрограмма 4 «Развитие информационного общества Бирилюсского района» </t>
  </si>
  <si>
    <t>Задача 1: Развитие сервисов на основе информационных технологий для упрощения процедур взаимодействия и коммуникации общества и государства.</t>
  </si>
  <si>
    <t>Задача 2:Обеспечение безопасности функционирования информационных и телекоммуникационных систем.</t>
  </si>
  <si>
    <t>Задача 3:Формирование и поддержание современной информационной и телекоммуникационной инфраструктуры.</t>
  </si>
  <si>
    <t>Итого по подпрограмме 4:</t>
  </si>
  <si>
    <r>
      <t>Подпрограмма 3 «</t>
    </r>
    <r>
      <rPr>
        <b/>
        <sz val="12"/>
        <rFont val="Times New Roman"/>
        <family val="1"/>
        <charset val="204"/>
      </rPr>
      <t>ЭНЕРГОСБЕРЕЖЕНИЕ И ПОВЫШЕНИЕ ЭНЕРГЕТИЧЕСКОЙ ЭФФЕКТИВНОСТИ В БИРИЛЮССКОМ РАЙОНЕ</t>
    </r>
    <r>
      <rPr>
        <b/>
        <sz val="14"/>
        <rFont val="Times New Roman"/>
        <family val="1"/>
        <charset val="204"/>
      </rPr>
      <t xml:space="preserve">» </t>
    </r>
  </si>
  <si>
    <t>Цель1 : Создание благоприятных условий для сельскохозяйственного развития поселений на основе реализации государственных полномочий по поддержке сельхозтоваропроизводителей</t>
  </si>
  <si>
    <t>Цель 2:Содействие развитию малого и среднего предпринимательства и повышение его роли в решении социальных и экономических задач в Бирилюсском районе, обеспечение  условий для интенсивного  роста субъектов малого и среднего предпринимательства и повышение потенциала развития их в  Бирилюсском районе  на основе создания современной рыночной  среды.</t>
  </si>
  <si>
    <t xml:space="preserve">Задача 1:Полное и своевременное исполнение переданных государственных полномочий по реализации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 </t>
  </si>
  <si>
    <t>Задача 2:Финансовая и имущественная поддержка субъектов малого и среднего предпринимательства, а также правовое, организационно – аналитическое и информационное обеспечение их деятельности</t>
  </si>
  <si>
    <t xml:space="preserve"> Цель: Развитие сельских территорий, рост занятости и уровня жизни сельского населения.</t>
  </si>
  <si>
    <t>Задача 2: Обеспечение исполнения полномочий по  реализации мероприятий государственной программы на основе эффективной деятельности органов  местного самоуправления в сфере развития агропромышленного комплекса.</t>
  </si>
  <si>
    <t>Задача 1: Поддержка и дальнейшее развитие малых форм хозяйствования на селе и повышение уровня доходов сельского населения;</t>
  </si>
  <si>
    <t>1. Количество ЛПХ</t>
  </si>
  <si>
    <t>3. Коэффициент обновления техники и оборудования</t>
  </si>
  <si>
    <t>4.Трудоустройство молодых специалистов</t>
  </si>
  <si>
    <t xml:space="preserve">Подпрограмма 2. «Поддержка развития субъектов малого и среднего предпринимательства в Бирилюсском районе» 
</t>
  </si>
  <si>
    <t>Цель:Создание благоприятных условий для развития малого и среднего предпринимательства и повышение его роли в решении социальных и экономических задач в Бирилюсском районе, обеспечение  условий для интенсивного  роста СМСП и повышение потенциала развития их в  Бирилюсском районе  на основе создания современной рыночной  среды.</t>
  </si>
  <si>
    <t>Задача 1: Правовое, организационное и аналитическое обеспечение деятельности субъектов малого и среднего предпринимательства;</t>
  </si>
  <si>
    <t>Задача 2:Обеспечение информационной поддержки деятельности субъектов малого и среднего предпринимательства;</t>
  </si>
  <si>
    <t>Задача 3: Имущественная поддержка субъектов малого и среднего предпринимательства;</t>
  </si>
  <si>
    <t>Задача 4: Финансовая поддержка субъектов малого и среднего предпринимательства</t>
  </si>
  <si>
    <t>1.Количество вновь созданных субъектов малого и среднего предпринимательства</t>
  </si>
  <si>
    <t>Итого по подпрограмме 1:</t>
  </si>
  <si>
    <t>3. Количество субъектов малого и среднего предпринимательства, получивших поддержку</t>
  </si>
  <si>
    <t>ед</t>
  </si>
  <si>
    <t>Цель: Создание условий для развития и реализации культурного и духовного потенциала населения Бирилюсского района</t>
  </si>
  <si>
    <t>Задача 1: «Сохранение, популяризация и эффективное использование культурного наследия Бирилюсского района»;</t>
  </si>
  <si>
    <t xml:space="preserve">Задача 2: «Обеспечение доступа населения 
к культурным ценностям и участию  в культурной жизни Бирилюсского  района»;
</t>
  </si>
  <si>
    <t>Задача 3: «Создание условий для устойчивого развития отрасли «Культура» в Бирилюсском районе»</t>
  </si>
  <si>
    <t xml:space="preserve">Задача :Развитие библиотечного дела; развитие музейного дела.
</t>
  </si>
  <si>
    <t>Цель: Сохранение и эффективное использование культурного наследия Бирилюсского района</t>
  </si>
  <si>
    <t>Подпрограмма 2 «Искусство и народное творчество»</t>
  </si>
  <si>
    <t>Цель 1: Обеспечение доступа населения Красноярского края к культурным благам и участию в культурной жизни</t>
  </si>
  <si>
    <t>Задача 1: Сохранение и развитие традиционной народной культуры;</t>
  </si>
  <si>
    <t xml:space="preserve">Задаяа 2: Организация и проведение культурных событий, в том числе на краевой, межрайонном, районном уровнях </t>
  </si>
  <si>
    <t xml:space="preserve">1.Количество посетителей муниципальных  учреждений культурно-досугового типа на 1 тыс. человек населения </t>
  </si>
  <si>
    <t xml:space="preserve">2. Число клубных формирований на 1 тыс. человек населения </t>
  </si>
  <si>
    <t xml:space="preserve">4.Число участников клубных формирований для детей в возрасте до 14 лет включительно </t>
  </si>
  <si>
    <t>Подпрограмма 3. «Обеспечение условий реализации программы и прочие мероприятия»</t>
  </si>
  <si>
    <t>Цель: Создание условий для устойчивого развития отрасли «культура»</t>
  </si>
  <si>
    <t>Задача 1: Поддержка  творческих работников культуры;</t>
  </si>
  <si>
    <t xml:space="preserve">Задача 2: Внедрение информационно-коммуникационных технологий в отрасли «культура», </t>
  </si>
  <si>
    <t xml:space="preserve">Задача 3: развитие информационных ресурсов; развитие инфраструктуры отрасли «культура»;
</t>
  </si>
  <si>
    <t>Задача 4: модернизация материально-технической базы  в сельских  учреждениях культуры;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</t>
  </si>
  <si>
    <t>2. Количество специалистов, повысивших квалификацию, прошедших переподготовку, обученных на семинарах и других мероприятиях</t>
  </si>
  <si>
    <t>Муниципальная программа «Развитие транспортной системы  Бирилюсского района»</t>
  </si>
  <si>
    <t>Цель: Сохранение и восстановление существующей дорожной сети автомобильных дорог и искусственных сооружений на них,   создание условий для развития перевозок пассажиров автомобильным транспортом по маршрутам регулярных перевозок на территории Бирилюсского района, совершенствование организации движения транспорта и пешеходов.</t>
  </si>
  <si>
    <t>Задача 1: Поддержание и непрерывное совершенствование технического уровня и эксплуатационного состояния, автомобильных дорог, способствующее повышению безопасности дорожного движения и эффективности работы автомобильного транспорта</t>
  </si>
  <si>
    <t>Задача 3: Повышение комплексной  безопасности дорожного движения</t>
  </si>
  <si>
    <t>Задача 2: Обеспечение доступности и повышение безопасного, качественного и эффективного транспортного обслуживания населения.</t>
  </si>
  <si>
    <t>Задача: Поддержание и непрерывное совершенствование технического уровня и эксплуатационного состояния, автомобильных дорог, способствующее повышению безопасности дорожного движения и эффективности работы автомобильного транспорта.</t>
  </si>
  <si>
    <t>10, 30</t>
  </si>
  <si>
    <t>Обеспечение деятельности (оказание услуг) подведомственных учреждений</t>
  </si>
  <si>
    <t>01</t>
  </si>
  <si>
    <t>Проведение мероприятий, организация участия в мероприятиях, для детей и молодежи</t>
  </si>
  <si>
    <t>10</t>
  </si>
  <si>
    <t>30, 36</t>
  </si>
  <si>
    <t>1.Отношение муниципального долга к доходпам районного бюджета за исключением безвозиездных поступлений</t>
  </si>
  <si>
    <t>Процентные платежи по муниципальному долгу</t>
  </si>
  <si>
    <t xml:space="preserve">Руководство и управление в сфере установленных функций органов местного самоуправления </t>
  </si>
  <si>
    <t>шт</t>
  </si>
  <si>
    <t>Цель:  Повышение качества жизни населения района и  уровня взаимодействия граждан, организаций и государства на основе информационных и телекоммуникационных технологий:</t>
  </si>
  <si>
    <t>1.Доля сельских поселений района, подключенных к единой, высокоскоростной, защищенной телекоммуникационной сети.</t>
  </si>
  <si>
    <t>2. Доля жителей района, использующих, механизм получения муниципальных услуг в электронной форме</t>
  </si>
  <si>
    <t>Создание условий для развития услуг связи в малочисленных и труднодоступных пунктах Красноярского края</t>
  </si>
  <si>
    <t>Количество реконструированных и отремонтированных водопроводных сетей, ежегодно</t>
  </si>
  <si>
    <t>Количество реконструированных и отремонтированных систем водоотведения  и очистки сточных вод, ежегодно</t>
  </si>
  <si>
    <t>2. Созданно новых рабочих мест</t>
  </si>
  <si>
    <t>тыс.чел</t>
  </si>
  <si>
    <t xml:space="preserve">Муниципальная  программа «Создание условий для сельскохозяйственного развития поселений, содействие развитию малого и среднего предпринимательства»
</t>
  </si>
  <si>
    <t>Цель 1: Повышение эффективности использования земельных ресурсов при создании условий для увеличения социального, инвестиционного, производственного потенциала земли, стимулирование инвестиционной деятельности на рынке недвижимости в интересах удовлетворения потребностей общества и граждан, а также пополнение основных средств и укрепление материальной базы органа местного самоуправления</t>
  </si>
  <si>
    <t>Цель2: Создание условий для увеличения годового объема ввода жилья</t>
  </si>
  <si>
    <t>Задача 4: Наличие документов территориального планирования и градостроительного зонирования (внесение в них изменений) Бирилюсского района Красноярского края подготовленных к согласованию и утверждению.</t>
  </si>
  <si>
    <t xml:space="preserve">Задача 1: Обеспечение государственной регистрации:
- прав муниципальной собственности на имущественный комплекс (объекты, земли),
- права оперативного управления, хозяйственного ведения, аренды, безвозмездного пользования имуществом,
- права постоянного (бессрочного) пользования, аренды  земельными участками;
</t>
  </si>
  <si>
    <t>Задача 2: Повышение уровня оснащенности транспортными средствами органа местного самоуправления.</t>
  </si>
  <si>
    <t xml:space="preserve">Оценка недвижимости, признание прав и регулирование отношений по муниципальномй собственности </t>
  </si>
  <si>
    <t>Мероприятия по землепользованию и землеустройству</t>
  </si>
  <si>
    <t>Цель: Выработка и реализация единой политики в области эффективного использования и управления муниципальным имуществом Бирилюсского района</t>
  </si>
  <si>
    <t>Задача:Обеспечение высокого качества оказания услуг в сфере строительных, ремонтных, обслуживающих работ зданий, помещений, сооружений, находящихся в собственности администрации, соответствующего потребностям граждан и перспективным задачам развития экономики Бирилюсского района.</t>
  </si>
  <si>
    <t>не менее 90</t>
  </si>
  <si>
    <t>балл</t>
  </si>
  <si>
    <t>1.1</t>
  </si>
  <si>
    <t>Цель 1: 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детей, отдыха и оздоровления детей в летний период;</t>
  </si>
  <si>
    <t xml:space="preserve">Поддержка деятельности муниципальных молодежных центров </t>
  </si>
  <si>
    <t>10, 12</t>
  </si>
  <si>
    <t>2. Увеличение чистопородного КРС а ВФХ</t>
  </si>
  <si>
    <t>голов</t>
  </si>
  <si>
    <t>Доля дорог общего пользования местного значения соответствующих техническим и эксплуатационным требованиям</t>
  </si>
  <si>
    <t xml:space="preserve">Муниципальная программа «Развитие культуры» 
</t>
  </si>
  <si>
    <t>2.1</t>
  </si>
  <si>
    <t>2.2</t>
  </si>
  <si>
    <t xml:space="preserve">Подпрограмма 1 «Культурное наследие» 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</si>
  <si>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</si>
  <si>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</si>
  <si>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</si>
  <si>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</si>
  <si>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</si>
  <si>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</si>
  <si>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</si>
  <si>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</si>
  <si>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</si>
  <si>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</si>
  <si>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</si>
  <si>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</si>
  <si>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3.1</t>
  </si>
  <si>
    <t>3.1.1</t>
  </si>
  <si>
    <t>3.1.2</t>
  </si>
  <si>
    <t>3.1.3</t>
  </si>
  <si>
    <t>3.1.4</t>
  </si>
  <si>
    <t>3.1.5</t>
  </si>
  <si>
    <t>Итого по муниципальной программе 2</t>
  </si>
  <si>
    <t xml:space="preserve">Муниципальная программа "Молодежная политика в Бирилюсском районе»
</t>
  </si>
  <si>
    <t xml:space="preserve"> </t>
  </si>
  <si>
    <t>30, 31</t>
  </si>
  <si>
    <t>3.2</t>
  </si>
  <si>
    <t>3.2.1</t>
  </si>
  <si>
    <t>Подпрограмма 2. "Обеспечение жильем молодых семей в Бирилюсском районе"</t>
  </si>
  <si>
    <t>4.1</t>
  </si>
  <si>
    <t>4.1.1</t>
  </si>
  <si>
    <t>4.1.2</t>
  </si>
  <si>
    <t>4.1.3</t>
  </si>
  <si>
    <t>4.2.1</t>
  </si>
  <si>
    <t>4.2.2</t>
  </si>
  <si>
    <t>4.2.3</t>
  </si>
  <si>
    <t>4.1.4</t>
  </si>
  <si>
    <t>5</t>
  </si>
  <si>
    <t>5.1</t>
  </si>
  <si>
    <t>5.1.1</t>
  </si>
  <si>
    <t>Подпрограмма 2  « Обеспечение потребности населения в перевозках»</t>
  </si>
  <si>
    <t>5.2</t>
  </si>
  <si>
    <t>5.2.1</t>
  </si>
  <si>
    <t>5.2.2</t>
  </si>
  <si>
    <t>Подпрограмма 3  « Повышение комплексной безопасности дорожного движения»</t>
  </si>
  <si>
    <t>Цель:Сохранение и восстановление существующей дорожной сети автомобильных дорог и искусственных сооружений на них</t>
  </si>
  <si>
    <t xml:space="preserve">1. Транспортная подвижность населения, в том числе: автомобильные перевозки  </t>
  </si>
  <si>
    <t>2. Транспортная подвижность населения, в том числе: водные перевозки</t>
  </si>
  <si>
    <t>Цель: Создание условий для развития перевозок пассажиров автомобильным транспортом по маршрутам регулярных перевозок на территории Бирилюсского района.</t>
  </si>
  <si>
    <t>Задача: Обеспечение доступности и повышение безопасного, качественного и эффективного транспортного обслуживания населения.</t>
  </si>
  <si>
    <t xml:space="preserve">Цель: Совершенствовать организацию движения транспорта и пешеходов.    </t>
  </si>
  <si>
    <t>Задача: Повышение комплексной  безопасности дорожного движения.</t>
  </si>
  <si>
    <t>5.3</t>
  </si>
  <si>
    <t>5.3.1</t>
  </si>
  <si>
    <t>1. Обустройство участков улично-дорожной сети в населенных пунктах района нерегулируемыми пешеходными переходами</t>
  </si>
  <si>
    <t>2.Обустройство участков улично-дорожной сети вблизи образовательных организаций нерегулируемыми пешеходными переходами</t>
  </si>
  <si>
    <t>6.1</t>
  </si>
  <si>
    <t>6.1.1</t>
  </si>
  <si>
    <t>6.1.2</t>
  </si>
  <si>
    <t>6.1.3</t>
  </si>
  <si>
    <t>Дотации поселениям на выравнивание бюджетной обеспеченности из районного фонда финансовой поддержки</t>
  </si>
  <si>
    <t>6.2</t>
  </si>
  <si>
    <t>6.2.1</t>
  </si>
  <si>
    <t>6.3</t>
  </si>
  <si>
    <t>6.3.1</t>
  </si>
  <si>
    <t>Цель: 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Бирилюсского района на краевой спортивной арене, формирование цельной системы подготовки спортивного резерва;</t>
  </si>
  <si>
    <t>Задача 1: Обеспечение развития массовой физической культуры на территории Бирилюсского района</t>
  </si>
  <si>
    <t>Задача 2:Обеспечение подготовки спортивного резерва в муниципальных учреждениях,  в области физической культуры и спорта на территории Бирилюсского района.</t>
  </si>
  <si>
    <r>
      <t xml:space="preserve">                    </t>
    </r>
    <r>
      <rPr>
        <b/>
        <sz val="14"/>
        <color theme="1"/>
        <rFont val="Times New Roman"/>
        <family val="1"/>
        <charset val="204"/>
      </rPr>
      <t xml:space="preserve">    Подпрограмма 1. «Развитие массовой физической культуры и спорта», </t>
    </r>
  </si>
  <si>
    <t>Цель:Cоздание доступных условий для занятий населения Бирилюсского района различных возрастных, профессиональных и социальных групп физической культурой и спортом</t>
  </si>
  <si>
    <t>Задача 1: Развитие устойчивой потребности всех категорий населения района к здоровому образу жизни, формирование мотивации к регулярным занятиям физической культурой и спортом посредством проведения, участия в организации официальных физкультурных, спортивных мероприятий на территории Бирилюсского района;</t>
  </si>
  <si>
    <t>Задача 2: Выявление и поддержка успешного опыта по организации массовой физкультурно-спортивной работы среди населения</t>
  </si>
  <si>
    <t xml:space="preserve">Цель: Повышение уровня обеспечения общественного порядка и общественной безопасности на территории муниципального образования город Губкинский </t>
  </si>
  <si>
    <t>30</t>
  </si>
  <si>
    <t>1.Количество физкультурно -спортивных массовых мероприятий на территории района</t>
  </si>
  <si>
    <t xml:space="preserve">2. Количество граждан Бирилюсского района, занимающихся физической культурой и спортом по  месту работы и в клубах по месту жительства </t>
  </si>
  <si>
    <t>3. Доля граждан Бирилюсского района, систематически занимающегося физической культурой и спортом к общей численности населения района</t>
  </si>
  <si>
    <t>31</t>
  </si>
  <si>
    <t>7.</t>
  </si>
  <si>
    <t>Муниципальная программа «Развитие физической культуры и спорта  в Бирилюсском районе».</t>
  </si>
  <si>
    <t>7.1</t>
  </si>
  <si>
    <t>7.1.1</t>
  </si>
  <si>
    <t>7.1.2</t>
  </si>
  <si>
    <t>7.2</t>
  </si>
  <si>
    <t>7.2.1</t>
  </si>
  <si>
    <t>7.2.2</t>
  </si>
  <si>
    <t>7.1.3</t>
  </si>
  <si>
    <t>7.1.4</t>
  </si>
  <si>
    <t>7.1.5</t>
  </si>
  <si>
    <t>1.Количество человек принявших участие в выполнении нормативов испытаний (тестов) комплекса ГТО (от 1 теста и более)</t>
  </si>
  <si>
    <t xml:space="preserve"> Подпрограмма 1 : «Развитие сельского хозяйства  в Бирилюсском районе» </t>
  </si>
  <si>
    <t>8.1</t>
  </si>
  <si>
    <t>8.1.1</t>
  </si>
  <si>
    <t>8.1.2</t>
  </si>
  <si>
    <t>8.1.3</t>
  </si>
  <si>
    <t>8.2</t>
  </si>
  <si>
    <t>8.2.1</t>
  </si>
  <si>
    <t>8.2.2</t>
  </si>
  <si>
    <t>10.</t>
  </si>
  <si>
    <t>Итого по муниципальной программе 10</t>
  </si>
  <si>
    <t>10.1</t>
  </si>
  <si>
    <t>10.1.1</t>
  </si>
  <si>
    <t>10.1.2</t>
  </si>
  <si>
    <t>10.2</t>
  </si>
  <si>
    <t>Цель: Создание организационных, экономических, финансовых условий  для энергосбережения и повышения энергетической  эффективности на территории Бирилюсского района</t>
  </si>
  <si>
    <t>Задача  1:  Создание оптимальных нормативно-правовых, организационных и экономических условий для реализации стратегии энергоресурсосбережения;</t>
  </si>
  <si>
    <t xml:space="preserve">Задача 2:  Расширение практики применения энергосберегающих  технологий при модернизации, реконструкции и капитальном  ремонте зданий; </t>
  </si>
  <si>
    <t xml:space="preserve">Задача 3: Обеспечение учета всего объема потребляемых энергетических ресурсов; </t>
  </si>
  <si>
    <t>Задача 4: Повышение уровня компетентности работников   администрации    МО Бирилюсский район  и ответственных  за энергосбережение сотрудников муниципальных   учреждений       в    вопросах      эффективного   использования энергетических ресурсов.</t>
  </si>
  <si>
    <t>10.3</t>
  </si>
  <si>
    <t>Муниципальная программа "Защита населения от чрезвычайных ситуаций и создание условий для безопасного проживания в Бирилюсском"</t>
  </si>
  <si>
    <t>Подпрограмма 1 "Предупреждение и ликвидация последствий чрезвычайных ситуаций в Бирилюсском районе"</t>
  </si>
  <si>
    <t>Задача 3:Выявление и предотвращение фактов распространения экстремистских материалов</t>
  </si>
  <si>
    <t>11.1.1</t>
  </si>
  <si>
    <t xml:space="preserve">Подпрограмма 2: «Противодействие терроризму и экстремизму в Бирилюсском районе» </t>
  </si>
  <si>
    <t>Итого по муниципальной программе 11</t>
  </si>
  <si>
    <t>Примечание</t>
  </si>
  <si>
    <t>код источника финансирования</t>
  </si>
  <si>
    <t xml:space="preserve">Утвержденный план  </t>
  </si>
  <si>
    <t>Муниципальная программа "Развитие образования Бирилюсского района"</t>
  </si>
  <si>
    <t>Задача 1: Обеспечить доступность дошкольного образования, соответствующего единому стандарту качества дошкольного образования;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</si>
  <si>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</si>
  <si>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Обеспечение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</si>
  <si>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Выплата и доставка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</si>
  <si>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8.Доля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</si>
  <si>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 xml:space="preserve">10.Доля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</si>
  <si>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 xml:space="preserve">11.Удельный вес общеобразовательных учреждений Бирилюсского района, в которых оценка деятельности общеобразовательных организаций, их руководителей и основных категорий работников осуществляется на основании показателей эффективности деятельности 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</si>
  <si>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</si>
  <si>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</si>
  <si>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</si>
  <si>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</si>
  <si>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</si>
  <si>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</si>
  <si>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</si>
  <si>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</si>
  <si>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</si>
  <si>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</si>
  <si>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</si>
  <si>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</si>
  <si>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</si>
  <si>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</si>
  <si>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1.18</t>
  </si>
  <si>
    <t>1.19</t>
  </si>
  <si>
    <t>1.20</t>
  </si>
  <si>
    <t>13</t>
  </si>
  <si>
    <t>1.3.1</t>
  </si>
  <si>
    <t>1.3.2</t>
  </si>
  <si>
    <t>Итого по муниципальной программе 1</t>
  </si>
  <si>
    <t>4.Соблюдениесроков предоставления годовой бюджетной отчетности (управление образования администрации Бирилюсского района)</t>
  </si>
  <si>
    <t xml:space="preserve">9.Удельный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</si>
  <si>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в т.ч. Федерального бюджета</t>
  </si>
  <si>
    <t>Краевого бюджета</t>
  </si>
  <si>
    <t>Районного бюджета</t>
  </si>
  <si>
    <t>Внебюджетные источники</t>
  </si>
  <si>
    <t>04, 34</t>
  </si>
  <si>
    <t>01, 12,31,36</t>
  </si>
  <si>
    <t>08, 13</t>
  </si>
  <si>
    <t xml:space="preserve"> 34,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</si>
  <si>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</si>
  <si>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1.Количество  молодых семей, улучшивших жилищные условия за счет полученных социальных выплат к общему количеству молодых семей, состоящих на учете и нуждающихся в улучшении жилищных условий </t>
  </si>
  <si>
    <t>4.2</t>
  </si>
  <si>
    <t>Подпрограмма 2 "Строительство, реконструкция, модернизация, капитальный ремонт и содержание муниципального имущества"</t>
  </si>
  <si>
    <t>6</t>
  </si>
  <si>
    <t>Оценка степени достижения показателей программы 8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</si>
  <si>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эффективности» </t>
  </si>
  <si>
    <t>Оценка степени достижения показателей программы 11</t>
  </si>
  <si>
    <t>04, 34,08</t>
  </si>
  <si>
    <t xml:space="preserve"> 13</t>
  </si>
  <si>
    <t>Оценка степени достижения показателей программы 10</t>
  </si>
  <si>
    <t>Оценка степени достижения показателя программы 7</t>
  </si>
  <si>
    <t xml:space="preserve">Итого по программе  7, в т.ч. </t>
  </si>
  <si>
    <t>Подпрограмма 1  «Обеспечение сохранности, модернизация и развитие сети автомобильных дорог района»</t>
  </si>
  <si>
    <t xml:space="preserve">Муниципальная программа «Управление муниципальными  финансами»  
</t>
  </si>
  <si>
    <t>5. Минимальное число социокультурных проектов в области культуры, реализованных муниципальными учреждениями культуры</t>
  </si>
  <si>
    <t xml:space="preserve">3. Число участников клубных формирований на 1 тыс. человек населения </t>
  </si>
  <si>
    <t>тыс.ед</t>
  </si>
  <si>
    <t>Осуществление государственных полномочий по созданию и обеспечению деятельности комиссий по делам несовершеннолетних и защите их прав</t>
  </si>
  <si>
    <t>15, 16, 17</t>
  </si>
  <si>
    <t>17</t>
  </si>
  <si>
    <t>4.2.4</t>
  </si>
  <si>
    <t>Капитальный ремонт муниципального жилищного фонда за счет платы за найм</t>
  </si>
  <si>
    <t>Оценка недвижимости, признание прав и регулирование отношений  по муниципальной собственности</t>
  </si>
  <si>
    <t>Средства на частичную компенсацию расходов на повышение оплаты труда отдельным категориям работников бюджетной сферы Красноярского края</t>
  </si>
  <si>
    <t>01,10</t>
  </si>
  <si>
    <t xml:space="preserve"> 08, 13</t>
  </si>
  <si>
    <t>1.21</t>
  </si>
  <si>
    <t>1.22</t>
  </si>
  <si>
    <t>1.23</t>
  </si>
  <si>
    <t>1.24</t>
  </si>
  <si>
    <t>не более 10</t>
  </si>
  <si>
    <t>2.Отношение годовой суммы платежей на погашение и обслуживание муниципального долга Бирилюсского района к доходам районного бюджета</t>
  </si>
  <si>
    <t>Трансферты поселениям на поддержку мер по обеспечению сбалансированности бюджетов поселений</t>
  </si>
  <si>
    <t xml:space="preserve">Расходы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</t>
  </si>
  <si>
    <t>га</t>
  </si>
  <si>
    <t xml:space="preserve">
</t>
  </si>
  <si>
    <t>Мероприятия для обеспечения антитеррористической защищености объектов с массовым пребыванием людей</t>
  </si>
  <si>
    <t>Муниципальная программа "Обращение с твердыми коммунальными отходами на территории Бирилюсского района"</t>
  </si>
  <si>
    <t>Цель1:Снижение негативного воздействия твердых коммунальных отходов на окружающую среду и здоровье человека</t>
  </si>
  <si>
    <t>Задача 1:Обеспечение современной системой сбора твердых коммунальных отходов</t>
  </si>
  <si>
    <t>шт.</t>
  </si>
  <si>
    <t>Итого по муниципальной программе 12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</si>
  <si>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0,99 (</t>
    </r>
    <r>
      <rPr>
        <b/>
        <i/>
        <sz val="14"/>
        <rFont val="Times New Roman"/>
        <family val="1"/>
        <charset val="204"/>
      </rPr>
      <t>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</si>
  <si>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Итого по муниципальным программам:</t>
  </si>
  <si>
    <t>Оценка степени достижения показателей программ</t>
  </si>
  <si>
    <t>Итого по муниципальной программе 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</si>
  <si>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</si>
  <si>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Оценка эффективности реализации программы:</t>
    </r>
    <r>
      <rPr>
        <b/>
        <sz val="14"/>
        <color rgb="FFFF0000"/>
        <rFont val="Times New Roman"/>
        <family val="1"/>
        <charset val="204"/>
      </rPr>
      <t xml:space="preserve"> 0,98</t>
    </r>
    <r>
      <rPr>
        <b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sz val="14"/>
        <color rgb="FFFF0000"/>
        <rFont val="Times New Roman"/>
        <family val="1"/>
        <charset val="204"/>
      </rPr>
      <t>высокой</t>
    </r>
    <r>
      <rPr>
        <b/>
        <sz val="14"/>
        <rFont val="Times New Roman"/>
        <family val="1"/>
        <charset val="204"/>
      </rPr>
      <t>)</t>
    </r>
  </si>
  <si>
    <t>Степень достижения целевого индикатора, балл</t>
  </si>
  <si>
    <t>Степень достижения показателей результативности, балл</t>
  </si>
  <si>
    <t>Оценка эффективности реализации муниципальных программ Бирилюсского района за 2022 год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</si>
  <si>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</si>
  <si>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</si>
  <si>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Модернизация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</si>
  <si>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</si>
  <si>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стандартами.</t>
  </si>
  <si>
    <t>Обеспечение деятельности (оказание услуг) казенных учреждений за счет средств от приносящей доход деятельности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</si>
  <si>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</si>
  <si>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Обеспечение деятельности (оказание услуг) подведомственных учреждений за счет иного межбюджетного трансферта за содействие развитию налогового потенциала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</si>
  <si>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</si>
  <si>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</si>
  <si>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</si>
  <si>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 "</t>
  </si>
  <si>
    <t>Проведение конкурсов, фестивалей, конференций, форумов одаренных детей Красноярского края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</si>
  <si>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Проведение мероприятий, организация участия в мероприятиях, для детей и молодежи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</si>
  <si>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 детей " муниципальной программы "Развитие образования Бирилюсского района"</t>
  </si>
  <si>
    <t>Расходы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</si>
  <si>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Средства на финансовое обеспечение (возмещение) расходных обязательств, связанных с увеличением с 1 июня 2022 года региональных выплат в рамках подпрограммы "Развитие дошкольного, общего и дополнительного образования детей " муниципальной программы "Развитие образования Бирилюсского района"</t>
  </si>
  <si>
    <t>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"Развитие дошкольного, общего и дополнительного образования детей " муниципальной программы "Развитие образования Бирилюсского района"</t>
  </si>
  <si>
    <t>1.25</t>
  </si>
  <si>
    <t>1.26</t>
  </si>
  <si>
    <t>1.27</t>
  </si>
  <si>
    <t>1.28</t>
  </si>
  <si>
    <t>1.29</t>
  </si>
  <si>
    <t>1.30</t>
  </si>
  <si>
    <t>1.31</t>
  </si>
  <si>
    <t>Расходы на разработку сметной документации и проведение проверки достоверности определения сметной стоимости объекта капитального строительства в целях капитального ремонта муниципального имущества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</si>
  <si>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1.32</t>
  </si>
  <si>
    <t>1.33</t>
  </si>
  <si>
    <t>Мероприятия на развитие и повышение качества работы муниципальных учреждений ,предоставление новых муниципальных услуг, повышения их качества в рамках подпрограммы "Развитие дошкольного, общего и дополнительного образования детей" муниципальной программы "Развитие образования Бирилюсского района"</t>
  </si>
  <si>
    <t>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"Господдержка детей-сирот, расширение практики применения семейных форм воспитания" муниципальной программы "Развитие образования Бирилюсского района"</t>
  </si>
  <si>
    <t>1.3.4</t>
  </si>
  <si>
    <t>1.3.5</t>
  </si>
  <si>
    <t>1.3.6</t>
  </si>
  <si>
    <t xml:space="preserve">Подпрограмма 2. "Господдержка детей-сирот, расширение практики применения семейных форм воспитания
</t>
  </si>
  <si>
    <t>Подпраграмма 3. "Обеспечение реализации муниципальной программы и прочие мероприятия"</t>
  </si>
  <si>
    <t>1.3.7</t>
  </si>
  <si>
    <t>Обеспечение деятельности (оказание услуг) подведомственных учреждений по ведению бухгалтерского учета учреждений образования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Бирилюсского района "</t>
  </si>
  <si>
    <t>Обеспечение деятельности (оказание услуг) подведомственных учреждений по оказанию методической помощи учреждений образования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Бирилюсского района "</t>
  </si>
  <si>
    <t>Обеспечение деятельности (оказание услуг) подведомственных учреждений по хозяйственно-эксплуатационному сопровождению учреждений образования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Бирилюсского района "</t>
  </si>
  <si>
    <t>Организация и проведение августовского педагогического совета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Бирилюсского района "</t>
  </si>
  <si>
    <t>Руководство и управление в сфере установленных функций органов местного самоуправления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Бирилюсского района"</t>
  </si>
  <si>
    <t>Средства на финансовое обеспечение (возмещение) расходных обязательств, связанных с увеличением с 1 июня 2022 года региональных выплат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Бирилюсского района"</t>
  </si>
  <si>
    <t>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образования Бирилюсского района"</t>
  </si>
  <si>
    <t>Уровень охвата детей от 3 до 7 лет местами в дошкольных образовательных учреждениях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</si>
  <si>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Бирилюсского района (с учетом групп кратковременного пребывания)</t>
  </si>
  <si>
    <t>Удельный вес воспитанников дошкольных образовательных организаций, расположенных на территории Бирилюсского района,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Бирилюсского района</t>
  </si>
  <si>
    <t>Удельный вес образовательных учреждений Бирилюсского района, 
в которых оценка деятельности дошкольных образовательных организаций,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(не менее чем в 80 % дошкольных организаций)</t>
  </si>
  <si>
    <t xml:space="preserve">Доля государственных (муниципальных) образовательных организаций, реализующих программы общего образования, имеющих физкультурный зал, в общей численности государственных (муниципальных) образовательных организаций, реализующих программы общего образования </t>
  </si>
  <si>
    <t>Доля общеобразовательных учреждений (с числом обучающихся более 50), в которых действуют управляющие советы</t>
  </si>
  <si>
    <t>Отношение среднего балла ЕГЭ (в расчете на 1 предмет) в 10 % школ Бирилюсского района с лучшими результатами ЕГЭ к среднему баллу ЕГЭ (в расчете на 1 предмет) в 10 % школ Бирилюсского района с худшими результатами ЕГЭ</t>
  </si>
  <si>
    <t>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</si>
  <si>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Доля детей с ограниченными возможностями здоровья, обучающихся в общеобразовательных организациях, имеющих лицензию и аккредитованных  по программам специальных (коррекционных) образовательных организаций, от количества детей данной категории, обучающихся в общеобразовательных организациях</t>
  </si>
  <si>
    <t xml:space="preserve">Доля  обучающихся общеобразовательных учреждений, охваченных психолого-педгогической и медико-социальной помощью, от общей численности  обучающихся общеобразовательных учреждений </t>
  </si>
  <si>
    <t xml:space="preserve">Удельный вес общеобразовательных учреждений Бирилюсского района, в которых оценка деятельности общеобразовательных организаций, их руководителей и основных категорий работников осуществляется на основании показателей эффективности деятельности </t>
  </si>
  <si>
    <t>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</si>
  <si>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Удельный вес образовательных учреждений,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</t>
  </si>
  <si>
    <t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</t>
  </si>
  <si>
    <t>Доля оздоровленных детей школьного возраста</t>
  </si>
  <si>
    <t>Удельный вес численности учителей в возрасте до 30 лет в общей численности учителей общеобразовательных организаций, расположенных на территории Бирилюсского района</t>
  </si>
  <si>
    <t>1.2.2</t>
  </si>
  <si>
    <t>Средства на частичную компенсацию расходов на повышение оплаты труда отдельным котегориям работников бюджетной сферы Красноярского края в рамках подпрограммы " Культурное наследие" муниципальной программы " Развитие культуры"</t>
  </si>
  <si>
    <t>Опеспечение деятельности(оказание услуг) подведомственных учреждений в рамках подпрограммы "Культурное наследие" муниципальной программы Бирилюсского района " Развитие культуры"</t>
  </si>
  <si>
    <t>Государственная поддержка отрасли культуры (модернизация библиотек в части комплектование книжных фондов) в рамках подпрограммы "Культурное наследие муниципальной программы "Развитие культуры"муниципальной программы "Развитие культуры"</t>
  </si>
  <si>
    <t>Государственная поддержка отрасли культуры (поддержка лучших сельских учреждений культуры) в рамках подпрограммы "Культурное наследие" муниципальной программы" Развитие культуры"</t>
  </si>
  <si>
    <t>Государственная поддержка отрасли культуры (поддержка лучших работников сельских учреждений культуры) в рамках подпрограммы "Культурное наследие" муниципальной программы" Развитие культуры"</t>
  </si>
  <si>
    <t>Комплектование книжных фондов библиотек муниципальных образований Красноярского края в рамках подпрограммы "Культурное наследие" муниципальной программы" Развитие культуры"</t>
  </si>
  <si>
    <t>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</si>
  <si>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 xml:space="preserve">Количество экземпляров новых поступлений в библиотечные фонды общедоступных библиотек на 1 тыс. человек населения </t>
  </si>
  <si>
    <t xml:space="preserve">Среднее число книговыдач в расчёте на            1 тыс. человек населения </t>
  </si>
  <si>
    <t>Доля представленных (во всех формах) зрителю музейных  предметов в общем количестве музейных предметов основного фонда</t>
  </si>
  <si>
    <t>Средсва на финансовое обеспечение(возмещение)расходных обязательств связанных с увеличением с 1 июня 2022года региональных выплат в рамках подпрограммы "искусство и народное творчество" муниципальной программы Бирилюсского района " Развитие культуры"</t>
  </si>
  <si>
    <t>Обеспечение деятельности(оказание услуг) подведомственных учреждений в рамкБирилюсского района "Развитие культуры"ах подпрогаммы "Искусство и народное творчество" муниципальной программы  Бирилюсского района "Развитие культуры"</t>
  </si>
  <si>
    <t>Расходы на проведение проверки достоверности определения сметной стоимости объекта капитального строительства в целях капитального ремонта муниципального имущества в рамках подпрограммы "Искусство и народное творчество" муниципальной программы Бирилюсског</t>
  </si>
  <si>
    <t>Обеспечение деятельности (оказание услуг)поведомственных учреждений по исполнению переданных полномочий поселений по клубам в рамках подпрограммы " Искусство и народное творчество" Муниципальной программы  Бирилюсского района"Развитие культуры"</t>
  </si>
  <si>
    <t xml:space="preserve">Обеспечение деятельности (оказание услуг)поведомственных учреждений по исполнению переданных полномочий поселений по клубам </t>
  </si>
  <si>
    <t xml:space="preserve">Средсва на частичную компенсацию расходов на повышение оплаты труда отдельным категориям мероприятия муниципальной программы Бирилюсского района "Развитие культуры"работников бюджетной сферы Красноярского края в рамках подпрограммы " </t>
  </si>
  <si>
    <t>осуществление государственных полномочий в области архивного Обеспечение условий реализации муниципальной программы и прочие мероприятия муниципальной программы Бирилюсского района " Развитие культурыдела,переданных органами местного самоуправления Красноярского края в рамках подпрограммы " Обеспечение условий реализации муниципальной программы и прочие мероприятия муниципальной программы Бирилюсского района " Развитие культуры"</t>
  </si>
  <si>
    <t>Обеспечение деятельности(оказание услуг) подведомственных учреждений в рамках подпрограммы "Опеспечение условий реализации муниципальной программы и прочих мероприятий  муниципальной программы " Развитие культуры"и прочих мероприятий  муниципальной программы " Развитие культуры"</t>
  </si>
  <si>
    <t xml:space="preserve">5. Число получателей денежных поощрений  лучшим творческим работникам, работникам организаций культуры и образовательных учреждений в области культуры, талантливой молодежи в сфере культуры и искусства </t>
  </si>
  <si>
    <t xml:space="preserve">4. Количество библиографических записей 
в электронных каталогах краевых государственных библиотек  
</t>
  </si>
  <si>
    <t>3. Доля библиотек, подключенных к сети Интернет, в общем количестве общедоступных библиотек</t>
  </si>
  <si>
    <t>1. Доля детей, привлекаемых к участию в творческих мероприятиях, в общем числе детей</t>
  </si>
  <si>
    <t>6. Доля музеев, имеющих сайт в сети Интернет, в общем количестве музеев</t>
  </si>
  <si>
    <r>
      <t>Оценка эффективности реализации программы:</t>
    </r>
    <r>
      <rPr>
        <b/>
        <sz val="14"/>
        <color rgb="FFFF0000"/>
        <rFont val="Times New Roman"/>
        <family val="1"/>
        <charset val="204"/>
      </rPr>
      <t xml:space="preserve"> 100,77</t>
    </r>
    <r>
      <rPr>
        <b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sz val="14"/>
        <color rgb="FFFF0000"/>
        <rFont val="Times New Roman"/>
        <family val="1"/>
        <charset val="204"/>
      </rPr>
      <t>высокой</t>
    </r>
    <r>
      <rPr>
        <b/>
        <sz val="14"/>
        <rFont val="Times New Roman"/>
        <family val="1"/>
        <charset val="204"/>
      </rPr>
      <t>)</t>
    </r>
  </si>
  <si>
    <t>Осуществление переданных полномочий поселений по предоставлению социальных выплат молодым семьям на приобретение (строительство) жилья</t>
  </si>
  <si>
    <t>3.1.6</t>
  </si>
  <si>
    <t xml:space="preserve">1. Количество поддержанных проектов различной направленности, реализуемых молодежью Бирилюского района </t>
  </si>
  <si>
    <t>2. Количество молодых граждан, вовлеченных в мероприятия по поддержке одаренной и талантливой молодежи</t>
  </si>
  <si>
    <t xml:space="preserve">3. Количество участников мероприятий по поддержке талантливой и одаренной молодежи.     </t>
  </si>
  <si>
    <t>4. Количество реализованных мероприятий по поддержке талантливой и одаренной молодежи</t>
  </si>
  <si>
    <t>5. Информирование подростков и молодежи о потенциальных возможностях занятости;
оказание содействия трудоустройству</t>
  </si>
  <si>
    <t>6. Доля молодых граждан, находящихся в СОП и ТЖС, вовлеченных в молодежные проекты, от общего числа молодых граждан, находящихся в СОП и ТЖС</t>
  </si>
  <si>
    <t xml:space="preserve">7. Количество мероприятий патриотической направленности
</t>
  </si>
  <si>
    <t xml:space="preserve">8. Количество молодых граждан, вовлекаемых в организацию  и проведение патриотических и добровольческих акций и мероприятий </t>
  </si>
  <si>
    <t>9. Количество флагманских программ в Бирилюсском районе, реализуемых многопрофильным молодежным центром Бирилюсского района для вовлечения молодежи от 14 до 35 лет.</t>
  </si>
  <si>
    <t>10. Количество молодых граждан в возрасте от 14 до 35 лет, вовлеченных в мероприятия, направленные на развитие и поддержание здорового образа жизни, укрепление здоровья молодежи.</t>
  </si>
  <si>
    <t>13. Доля несовершеннолетних, состоящих на учете СОП и участвующих в различных формах организованного досуга и занятости, в общем числе несовершеннолетних, состоящих на учете  СОП</t>
  </si>
  <si>
    <t>11. Доля несовершеннолетних, состоящих на учете в Комиссии как находящиеся в СОП, и совершившие уголовно-наказуемые деяния, от общего числа несовершеннолетних, находящихся в СОП в отчетном периоде</t>
  </si>
  <si>
    <t>12. Доля несовершеннолетних, снятых в отчетном периоде с учета СОП по постановлению Комиссии в связи с выходом из социально опасного положения, от общего количества несовершеннолетних, находящихся в СОП</t>
  </si>
  <si>
    <r>
      <t>Оценка эффективности реализации программы:</t>
    </r>
    <r>
      <rPr>
        <b/>
        <sz val="14"/>
        <color rgb="FFFF0000"/>
        <rFont val="Times New Roman"/>
        <family val="1"/>
        <charset val="204"/>
      </rPr>
      <t xml:space="preserve"> 0,97</t>
    </r>
    <r>
      <rPr>
        <b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sz val="14"/>
        <color rgb="FFFF0000"/>
        <rFont val="Times New Roman"/>
        <family val="1"/>
        <charset val="204"/>
      </rPr>
      <t>высокой</t>
    </r>
    <r>
      <rPr>
        <b/>
        <sz val="14"/>
        <rFont val="Times New Roman"/>
        <family val="1"/>
        <charset val="204"/>
      </rPr>
      <t>)</t>
    </r>
  </si>
  <si>
    <t xml:space="preserve">Приобретение движимого имущества для осуществления муниципальных полномочий </t>
  </si>
  <si>
    <t>Приобретение жилья для специалистов бюджетной сферы района</t>
  </si>
  <si>
    <t>2. Количество проведенных оценок муниципального имущества, в целях заключения договоров аренды, купли-продажи</t>
  </si>
  <si>
    <t>3. Количество подготовленных  документов, необходимых для государственного кадастрового учета и государственной регистрации права недвижимого имущества</t>
  </si>
  <si>
    <t>4. Обеспечение уплаты налога на добавленную стоимость за физических лиц от аренды и реализации муниципального имущества</t>
  </si>
  <si>
    <t>1. Текущий ремонт и содержание муниципального имущества</t>
  </si>
  <si>
    <t>2. Исполнение переданных полномочий по клубам</t>
  </si>
  <si>
    <t>3. Капитальный ремонт муниципального жилищного фонда за счет платы за найм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</si>
  <si>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1,05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</si>
  <si>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Средства Субсидии на содержание автомобильных дорог общего пользования местного значения Бирилюсского района.</t>
  </si>
  <si>
    <t>«Предоставление субсидий перевозчикам, осуществляющим пассажирские автомобильные перевозки по пригородным и междугородным внутрирайонным маршрутам»</t>
  </si>
  <si>
    <t>Предоставление субсидий перевозчикам, осуществляющим пассажирские  перевозки водным транспортом на территории Бирилюсского района</t>
  </si>
  <si>
    <t>«Предоставление субсидии юридическим лицам (за исключением муниципальных учреждений), осуществляющим регулярные перевозки пассажиров автомобильным транспортом по муниципальным маршрутам на компенсацию расходов части фактически понесенных затрат на проведение профилактических мероприятий и дезинфекции подвижного состава общественного транспорта в целях недопущения распространения новой коронавирусной инфекции, вызванной 2019 nCoV»</t>
  </si>
  <si>
    <t>5.2.3</t>
  </si>
  <si>
    <t>5.2.4</t>
  </si>
  <si>
    <t>Субсидия организациям, осуществляющим регулярные перевозки пассажиров автомобильным транспортом по муниципальным маршрутам Бирилюсского района в целях оснащенности транспортных средств техническими средствами для обеспечения транспортной безопасности</t>
  </si>
  <si>
    <t>5.3.2</t>
  </si>
  <si>
    <t>5.3.3</t>
  </si>
  <si>
    <t xml:space="preserve">Предоставление субсидии на финансирование мероприятий муниципальных образований района на приобретение и установку дорожных знаков, стоек, креплений при долевом финансировании муниципальных образований </t>
  </si>
  <si>
    <t>Предоставление субсидии на финансирование мероприятий муниципальных образований района на обустройство участков улично-дорожной сети вблизи образовательных организаций для обеспечения безопасности дорожного движения за счет средств дорожного фонда Красноярского края при долевом финансировании муниципальных образований</t>
  </si>
  <si>
    <t>Мероприятия, направленные на обеспечение безопасности детей в дорожном движении (приобретение и распространение световозвращающих приспособлений среди учащихся первых классов школ Бирилюсского района)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</si>
  <si>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1,0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</si>
  <si>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Дотации  поселениям на выравнивание бюджетной обеспеченности из районного фонда финансовой поддержки поселений за счет средств субвенции из краевого бюджета на осуществление отдельных государственных полномочий по расчету и предоставлению дотаций поселениям</t>
  </si>
  <si>
    <t>не менее 2,55</t>
  </si>
  <si>
    <t>Средства на частичное финансирование (возмещение) расходов на повышение размеров оплаты труда отдельным категориям работников бюджетной сферы</t>
  </si>
  <si>
    <t>6.3.2</t>
  </si>
  <si>
    <t>6.3.3</t>
  </si>
  <si>
    <t>7. Соотношение суммы зарегистрированных бюджетных обязательств к сумме предъявленных на регистрацию</t>
  </si>
  <si>
    <t>8. Соотношение оплаченных денежных обязательств к зарегистрированным</t>
  </si>
  <si>
    <t xml:space="preserve">9. Соотношение количества фактически проведенных контрольных мероприятий к количеству запланированных </t>
  </si>
  <si>
    <t>не менее 97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</si>
  <si>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1,00</t>
    </r>
    <r>
      <rPr>
        <b/>
        <i/>
        <sz val="14"/>
        <rFont val="Times New Roman"/>
        <family val="1"/>
        <charset val="204"/>
      </rPr>
      <t xml:space="preserve"> (Степень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</si>
  <si>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 xml:space="preserve">3 Обеспечение деятельности (оказание услуг) подведомственных учреждений </t>
  </si>
  <si>
    <t>4 Проведение мероприятий и организация участия в мероприятиях по спортивно-массовой работе.</t>
  </si>
  <si>
    <t>5 Софинансирование расходов на устройство плоскостных спортивных сооружений в сельской местности в рамках подпрограммы " Развитие массовой физической культуры и спорта" муниципальной программы "Развитие физической культуры и спорта в Бирилюсском районе"</t>
  </si>
  <si>
    <t xml:space="preserve"> 1 Обеспечение деятельности (оказание услуг) подведомственных учреждений.</t>
  </si>
  <si>
    <t>2 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"Развитие спортивной подготовки в Бирилюсском районе" муниципальной программы "Развитие физической культуры и спорта в Бирилюсском районе"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</si>
  <si>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1,00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признается-высокой)</t>
    </r>
  </si>
  <si>
    <t>Мероприятия по проведению конкурсов, фестивалей и праздников в рамках подпрограммы "Развитие сельского хозяйства в Бирилюсском районе" муниципальной программы " Создание условий для сельскохозяйственного развития поселений, содействие развитию малого и среднего предпринимательства"</t>
  </si>
  <si>
    <t>Освоение средств субвенции на выполнение отдельных государственных полномочий по поддержки сельскохозяйственного производства</t>
  </si>
  <si>
    <t>Организация проведения мероприятия по отлову, учету, содержанию с  безнадзорными животными</t>
  </si>
  <si>
    <t>Субсидия на реализацию инвестиционных проектов субъектам малого и среднего предпринимательства в приоритетных отраслях в рамках подпрограммы "Поддержка развития малого и среднего предпринимательства в Бирилюсском районе" муниципальной программы "Создание условий для сельскохозяйственного развития поселений, содействие развитию малого и среднего предпринимательства"</t>
  </si>
  <si>
    <t>Финансовая поддержка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"Поддержка развития субъектов малого и среднего предпринимательства в Бирилюсском районе" муниципальной программы "Создание условий для сельскохозяйственного развития поселений, содействие развитию малого и среднего предпринимательства"</t>
  </si>
  <si>
    <t>Финансовая поддержка субъектов малого и среднего предпринимательства и физическим лицам, применяющим специальный налоговый режим, "налог на профессиональный доход" на возмещение затрат при осуществлении предпринимательской деятельности</t>
  </si>
  <si>
    <t>8.2.3</t>
  </si>
  <si>
    <t>5. Участие в конкурсе "Начинающих фермер", АГРОСТАРТАП</t>
  </si>
  <si>
    <t>6. Количество пакетов первичных документов представляемых  субъектами АПК района для  получения государственной поддержки</t>
  </si>
  <si>
    <t>8. Площадь обработки территории от дикорастущей конопли</t>
  </si>
  <si>
    <t>7. Организация проведения мероприятий пол отлову , учету, содержанию с безнадзорными животными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</si>
  <si>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1,26</t>
    </r>
    <r>
      <rPr>
        <b/>
        <i/>
        <sz val="14"/>
        <rFont val="Times New Roman"/>
        <family val="1"/>
        <charset val="204"/>
      </rPr>
      <t>(Степень достижения показателей результативности Программы признается-в</t>
    </r>
    <r>
      <rPr>
        <b/>
        <i/>
        <sz val="14"/>
        <color rgb="FFFF0000"/>
        <rFont val="Times New Roman"/>
        <family val="1"/>
        <charset val="204"/>
      </rPr>
      <t>ысокой</t>
    </r>
    <r>
      <rPr>
        <b/>
        <i/>
        <sz val="14"/>
        <rFont val="Times New Roman"/>
        <family val="1"/>
        <charset val="204"/>
      </rPr>
      <t>)</t>
    </r>
  </si>
  <si>
    <t>Реконструкция, модернизация и техническое перевооружение объектов тепло- водоснабжения</t>
  </si>
  <si>
    <t xml:space="preserve">Капитальный,  текущий  ремонт,  модернизация  и  строительство объектов жилищно-коммунального комплекса  </t>
  </si>
  <si>
    <t>Количество реконструируемых, модернизированных и технически перевооруженных теплоснабжающих, теплосетевых объектов;</t>
  </si>
  <si>
    <t>Доля снижения уровня износа объектов коммунальной инфраструктуры, ежегодно.</t>
  </si>
  <si>
    <t>Чистая вода Бирилюсского района</t>
  </si>
  <si>
    <t>10.2.1</t>
  </si>
  <si>
    <t>Энергосбережение и повышение энергетической эффективности в Бирилюсском районе</t>
  </si>
  <si>
    <t>Количество установленных узлов учета тепловой энергии в муниципальных учреждениях (20)</t>
  </si>
  <si>
    <t>Доля расчетов потребителей муниципальной бюджетной сферы за тепловую энергию по показаниям приборов учета</t>
  </si>
  <si>
    <t>Снижение потребления тепловой энергии в натуральном выражении</t>
  </si>
  <si>
    <t>Доля расчетов потребителей муниципальной бюджетной сферы за холодную воду по показаниям приборов учета</t>
  </si>
  <si>
    <t>Доля органов местного самоуправления, муниципальных учреждений, заполнивших декларации о потреблении энергетических ресурсов в модуле "Информация об энергосбережении и повышении энергетической эффективности" https://dper.gisee.ru/coordination/packages_and_children_declarations/</t>
  </si>
  <si>
    <t>Гкал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</si>
  <si>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1(</t>
    </r>
    <r>
      <rPr>
        <b/>
        <i/>
        <sz val="14"/>
        <rFont val="Times New Roman"/>
        <family val="1"/>
        <charset val="204"/>
      </rPr>
      <t>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</si>
  <si>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Расходы на частичное финансирование по содержанию единых дежурно-диспетчерских служб</t>
  </si>
  <si>
    <t>Обеспечение трансферты сельским поселениям на обеспечение первичных мер пожарной безопасности</t>
  </si>
  <si>
    <t>1. Время от получения сведений до оповещения руководителей о возникновении ЧС</t>
  </si>
  <si>
    <t>2. Периодическая переподготовка дежурных и тестирование на оперативность действий</t>
  </si>
  <si>
    <t>3. Обеспечение трансферты сельским поселениям на обеспечение первичных мер пожарной безопасности</t>
  </si>
  <si>
    <t xml:space="preserve">Подпрограмма 3: «Противодействие терроризму и экстремизму в Бирилюсском районе» </t>
  </si>
  <si>
    <t xml:space="preserve">1. Несанкционированные проникновения на административные объекты </t>
  </si>
  <si>
    <t xml:space="preserve">2. Количество проведённых лекций, занятий на тематику в области антитеррористической защиты населения </t>
  </si>
  <si>
    <t>3. Качество фиксаций  видеоаппаратурой случаев несанкционированного проникновения  на объекты с массовым пребыванием людей, отсутствие сбоев работы аппаратуры</t>
  </si>
  <si>
    <t>случ.</t>
  </si>
  <si>
    <t>ед. измере-ния</t>
  </si>
  <si>
    <t>Обустройство мест (площадок) накопления твёрдых коммунальных отходов или приобретение контейнерного оборудования</t>
  </si>
  <si>
    <t>1. Количество оборудованных мест (площадок) накопления твёрдых коммунальных отходов</t>
  </si>
  <si>
    <t>9.</t>
  </si>
  <si>
    <t>9.1</t>
  </si>
  <si>
    <t>9.1.1</t>
  </si>
  <si>
    <t>9.1.2</t>
  </si>
  <si>
    <t>9.2</t>
  </si>
  <si>
    <t>9.2.1</t>
  </si>
  <si>
    <t>9.3</t>
  </si>
  <si>
    <t>9.3.1</t>
  </si>
  <si>
    <t>9.3.2</t>
  </si>
  <si>
    <t>9.3.3</t>
  </si>
  <si>
    <t>9.3.4</t>
  </si>
  <si>
    <t>9.3.5</t>
  </si>
  <si>
    <t>9.4</t>
  </si>
  <si>
    <t>9.4.1</t>
  </si>
  <si>
    <t>10.1.3</t>
  </si>
  <si>
    <t>11</t>
  </si>
  <si>
    <t xml:space="preserve">Муниципальная программа «Управление муниципальным имуществом» </t>
  </si>
  <si>
    <t>Руководство и управление в сфере установленных функций органов местного самоуправления в рамках подпрограммы " Обеспечение условий реализации муниципальной программы и прочие мероприятия"" муниципальной программы Бирилюсского района "Развитие культуры"</t>
  </si>
  <si>
    <t>Подпрограмма 1 "Формирование и распоряжение муниципальным имуществом Бирилюсского района"</t>
  </si>
  <si>
    <t>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"Развитие массовой физической культуры и спорта" муниципальной программы "Развитие физической культуры и спорта в Бирилюсском районе"</t>
  </si>
  <si>
    <t>Поддержка физкультурно-спортивных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Бирилюсском районе"</t>
  </si>
  <si>
    <t>7.2.3</t>
  </si>
  <si>
    <t>Средства на финансовое обеспечение (возмещение) расходных обязательств, связанных с увеличением с 1 июня 2022 года региональных выплат в рамках подпрограммы "Развитие спортивной подготовки в Бирилюсском районе" муниципальной программы "Развитие физической культуры и спорта в Бирилюсском районе"</t>
  </si>
  <si>
    <t>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"Предупреждение и ликвидация последствий чрезвычайных ситуаций" муниципальной программы "Защита населения от чрезвычайных ситуаций и создание условий для безопасного проживания в Бирилюсском районе"</t>
  </si>
  <si>
    <t>Средства на финансовое обеспечение (возмещение) расходных обязательств, связанных с увеличением с 1 июня 2022 года региональных выплат в рамках подпрограммы "Предупреждение и ликвидация последствий чрезвычайных ситуаций" муниципальной программы "Защита населения от чрезвычайных ситуаций и создание условий для безопасного проживания в Бирилюсском районе"</t>
  </si>
  <si>
    <t>10.1.4</t>
  </si>
  <si>
    <t>10.1.5</t>
  </si>
  <si>
    <t>12</t>
  </si>
  <si>
    <t>Муниципальная программа"Переселение граждан из не предназначенных для проживания строений, созданных в период промышленного освоения Сибири и Дальнего Востока в Бирилюсском районе"</t>
  </si>
  <si>
    <t>12.1</t>
  </si>
  <si>
    <t>Предоставление социальных выплат для приобретения жилья гражданам, проживающим в не предназначенных для проживания строениях, созданных в период промышленного освоения Сибири и Дальнего Востока муниципальной программы "Переселение граждан из не предназначенных для проживания строений, созданных в период промышленного освоения Сибири и Дальнего Востока в Бирилюсском районе"</t>
  </si>
  <si>
    <t>Муниципальная программа "Стимулирование жилищного строительства на территории Бирилюсского района"</t>
  </si>
  <si>
    <t>13.1</t>
  </si>
  <si>
    <t>Подпрограмма "Территориальное планирование, градостроительное зонирование и планировка территори Бирилюсского района"</t>
  </si>
  <si>
    <t>13.1.1</t>
  </si>
  <si>
    <t>Подготовка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"Территориальное планирование, градостроительное зонирование и планировка территори Бирилюсского района" муниципальной программы "Стимулирование жилищного строительства на территории Бирилюсского района"</t>
  </si>
  <si>
    <t>13.2</t>
  </si>
  <si>
    <t xml:space="preserve">Подпрограмма 2: «Подпрограмма "Переселение граждан из аварийного жилищного фонда в Бирилюсском районе Красноярского края на 2019-2025"» </t>
  </si>
  <si>
    <t>13.2.1</t>
  </si>
  <si>
    <t>Содержание муниципального жилищного фонда признанного аварийным и подлежащего сносу в рамках подпрограммы "Переселение граждан из аварийного жилищного фонда в Бирилюсском районе Красноярского края на 2019-2025"" муниципальной программы "Стимулирование жилищного строительства на территории Бирилюсского района"</t>
  </si>
  <si>
    <t>13.2.2</t>
  </si>
  <si>
    <t>13.2.3</t>
  </si>
  <si>
    <t>13.2.4</t>
  </si>
  <si>
    <t>Иной межбюджетный трансферт на реализацию мероприятий по сносу аварийного жилищного фонда в рамках подпрограммы "Переселение граждан из аварийного жилищного фонда в Бирилюсском районе Красноярского края на 2019-2025"" муниципальной программы "Стимулирование жилищного строительства на территории Бирилюсского района"</t>
  </si>
  <si>
    <t>Иной межбюджетный трансферт бюджетам поселений на обеспечение мероприятий по переселению граждан из аварийного жилишного фонда за счет средств местного бюджета в рамках подпрограммы "Переселение граждан из аварийного жилищного фонда в Бирилюсском районе Красноярского края на 2019-2025"" муниципальной программы "Стимулирование жилищного строительства на территории Бирилюсского района"</t>
  </si>
  <si>
    <t>Субсидия бюджетам поселений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 в Бирилюсском районе Красноярского края на 2019-2025"" муниципальной программы "Стимулирование жилищного строительства на территории Бирилюсского района"</t>
  </si>
  <si>
    <t>Колличествограждан, улучшивших жилищные условия за счет полученных социальных выплат, проживающих в непредназначенных для проживания строениях и нуждающихся в улучшении жилищных условиях</t>
  </si>
  <si>
    <r>
      <t xml:space="preserve">Оценка эффективности реализации программы: </t>
    </r>
    <r>
      <rPr>
        <b/>
        <i/>
        <sz val="14"/>
        <color rgb="FFFF0000"/>
        <rFont val="Times New Roman"/>
        <family val="1"/>
        <charset val="204"/>
      </rPr>
      <t>1,0 (</t>
    </r>
    <r>
      <rPr>
        <b/>
        <i/>
        <sz val="14"/>
        <rFont val="Times New Roman"/>
        <family val="1"/>
        <charset val="204"/>
      </rPr>
      <t>Степень достижения показателей результативности Программы признается-</t>
    </r>
    <r>
      <rPr>
        <b/>
        <i/>
        <sz val="14"/>
        <color rgb="FFFF0000"/>
        <rFont val="Times New Roman"/>
        <family val="1"/>
        <charset val="204"/>
      </rPr>
      <t>высокой</t>
    </r>
    <r>
      <rPr>
        <b/>
        <i/>
        <sz val="14"/>
        <rFont val="Times New Roman"/>
        <family val="1"/>
        <charset val="204"/>
      </rPr>
      <t>)</t>
    </r>
  </si>
  <si>
    <t>Приведение документации по проекту генерального плана Проточенского сельсовета Бирилюсского района современным требованиям</t>
  </si>
  <si>
    <t>Расселяемая площадь жилых помещений</t>
  </si>
  <si>
    <t>Количество переселяемых жителей</t>
  </si>
  <si>
    <t>кв.м</t>
  </si>
  <si>
    <t>Итого по муниципальной программе 13</t>
  </si>
  <si>
    <t>Оценка степени достижения показателей программы 13</t>
  </si>
  <si>
    <t>Оценка степени достижения показателей программы 12</t>
  </si>
  <si>
    <t>Оценка степени достижения показателей программы 9</t>
  </si>
  <si>
    <t>Оценка степени достижения показателей программы 6</t>
  </si>
  <si>
    <t>Оценка степени достижения показателей программы5</t>
  </si>
  <si>
    <r>
      <t xml:space="preserve">Оценка эффективности реализации программы: </t>
    </r>
    <r>
      <rPr>
        <b/>
        <i/>
        <sz val="16"/>
        <color rgb="FFC00000"/>
        <rFont val="Times New Roman"/>
        <family val="1"/>
        <charset val="204"/>
      </rPr>
      <t>1,03</t>
    </r>
    <r>
      <rPr>
        <b/>
        <i/>
        <sz val="16"/>
        <rFont val="Times New Roman"/>
        <family val="1"/>
        <charset val="204"/>
      </rPr>
      <t>(Степень достижения показателей результативности Программ признается-</t>
    </r>
    <r>
      <rPr>
        <b/>
        <i/>
        <sz val="16"/>
        <color rgb="FFC00000"/>
        <rFont val="Times New Roman"/>
        <family val="1"/>
        <charset val="204"/>
      </rPr>
      <t>высокой)</t>
    </r>
  </si>
  <si>
    <t>Итого по муниципальной программе 9</t>
  </si>
  <si>
    <t>Оценка степени достижения показателей программы 1</t>
  </si>
  <si>
    <t>Обеспечение деятельности (оказание услуг) подведомственных учреждений в рамках подпрограммы "Содержание и обслуживание муниципального имущества Бирилюсского района" муниципальной программы "Управление муниципальным имуществом Бирилюсского района"</t>
  </si>
  <si>
    <t>Обеспечение деятельности (оказание услуг) подведомственных учреждений по исполнению переданных полномочий поселений по клубам в рамках подпрограммы "Содержание и обслуживание муниципального имущества Бирилюсского района" муниципальной программы "Управление муниципальным имуществом Бирилюсского района"</t>
  </si>
  <si>
    <t>Средства на частичную компенсацию расходов на повышение оплаты труда отдельным категориям работников бюджетной сферы Красноярского края в рамках подпрограммы "Строительство, реконструкция, модернизация и капитальный ремонт и содержание муниципального имущества" муниципальной программы "Совершенствование земельно-имущественных отношений в Бирилюсском районе"</t>
  </si>
  <si>
    <t>4.2.5</t>
  </si>
  <si>
    <t>4.2.6</t>
  </si>
  <si>
    <t>Средства на финансовое обеспечение (возмещение) расходных обязательств, связанных с увеличением с 1 июня 2022 года региональных выплат в рамках подпрограммы "Содержание и обслуживание муниципального имущества Бирилюсского района" муниципальной программы "Управление муниципальным имуществом Бирилюсского района"</t>
  </si>
  <si>
    <t>9.1.3</t>
  </si>
  <si>
    <t>Мероприятия по жизнеобеспечению объектов жилищно-коммунального хозяйства по выполнению полномочий поселений в рамках подпрограммы "Модернизация, реконструкция и капитальный ремонт объектов коммунальной инфраструктуры Бирилюсского района" муниципальной программы Бирилюсского района "Реформирование и модернизация жилищно-коммунального хозяйства и повышение энергетической эффективности"</t>
  </si>
  <si>
    <t>Объем финансирования,   руб.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</si>
</sst>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#,##0.0"/>
    <numFmt numFmtId="165" formatCode="#,##0.00\ _₽;[Red]#,##0.00\ _₽"/>
    <numFmt numFmtId="166" formatCode="#,##0.00\ _₽"/>
    <numFmt numFmtId="167" formatCode="?"/>
    <numFmt numFmtId="168" formatCode="_-* #,##0.0_р_._-;\-* #,##0.0_р_._-;_-* &quot;-&quot;??_р_._-;_-@_-"/>
    <numFmt numFmtId="169" formatCode="0.0"/>
  </numFmts>
  <fonts count="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rgb="FFFF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 Cyr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1"/>
    </font>
    <font>
      <sz val="8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3C2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C7A6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1" fillId="0" borderId="0"/>
  </cellStyleXfs>
  <cellXfs count="919">
    <xf numFmtId="0" fontId="0" fillId="0" borderId="0" xfId="0"/>
    <xf numFmtId="164" fontId="0" fillId="2" borderId="0" xfId="0" applyNumberFormat="1" applyFill="1"/>
    <xf numFmtId="49" fontId="0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164" fontId="12" fillId="5" borderId="0" xfId="0" applyNumberFormat="1" applyFont="1" applyFill="1"/>
    <xf numFmtId="49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/>
    </xf>
    <xf numFmtId="164" fontId="12" fillId="6" borderId="0" xfId="0" applyNumberFormat="1" applyFont="1" applyFill="1"/>
    <xf numFmtId="49" fontId="5" fillId="0" borderId="1" xfId="0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left" vertical="center"/>
    </xf>
    <xf numFmtId="164" fontId="14" fillId="3" borderId="1" xfId="1" applyNumberFormat="1" applyFont="1" applyFill="1" applyBorder="1" applyAlignment="1">
      <alignment horizontal="center" vertical="center"/>
    </xf>
    <xf numFmtId="49" fontId="5" fillId="7" borderId="1" xfId="1" applyNumberFormat="1" applyFont="1" applyFill="1" applyBorder="1" applyAlignment="1">
      <alignment horizontal="center" vertical="center" wrapText="1"/>
    </xf>
    <xf numFmtId="164" fontId="12" fillId="6" borderId="1" xfId="0" applyNumberFormat="1" applyFont="1" applyFill="1" applyBorder="1"/>
    <xf numFmtId="164" fontId="15" fillId="5" borderId="0" xfId="0" applyNumberFormat="1" applyFont="1" applyFill="1"/>
    <xf numFmtId="49" fontId="16" fillId="6" borderId="1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64" fontId="15" fillId="6" borderId="0" xfId="0" applyNumberFormat="1" applyFont="1" applyFill="1"/>
    <xf numFmtId="49" fontId="10" fillId="7" borderId="1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 wrapText="1"/>
    </xf>
    <xf numFmtId="49" fontId="14" fillId="3" borderId="1" xfId="1" applyNumberFormat="1" applyFont="1" applyFill="1" applyBorder="1" applyAlignment="1">
      <alignment horizontal="left" vertical="center"/>
    </xf>
    <xf numFmtId="164" fontId="14" fillId="8" borderId="1" xfId="1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49" fontId="14" fillId="9" borderId="1" xfId="0" applyNumberFormat="1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left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4" fontId="14" fillId="9" borderId="1" xfId="0" applyNumberFormat="1" applyFont="1" applyFill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4" fontId="19" fillId="0" borderId="2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vertical="center" wrapText="1"/>
    </xf>
    <xf numFmtId="164" fontId="19" fillId="0" borderId="2" xfId="0" applyNumberFormat="1" applyFont="1" applyBorder="1" applyAlignment="1">
      <alignment horizontal="left" vertical="center" wrapText="1"/>
    </xf>
    <xf numFmtId="164" fontId="0" fillId="5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49" fontId="14" fillId="3" borderId="1" xfId="0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11" fillId="7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/>
    <xf numFmtId="164" fontId="5" fillId="0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6" borderId="9" xfId="1" applyNumberFormat="1" applyFont="1" applyFill="1" applyBorder="1" applyAlignment="1">
      <alignment horizontal="center" vertical="center" wrapText="1"/>
    </xf>
    <xf numFmtId="164" fontId="5" fillId="6" borderId="9" xfId="1" applyNumberFormat="1" applyFont="1" applyFill="1" applyBorder="1" applyAlignment="1">
      <alignment horizontal="left" vertical="center" wrapText="1"/>
    </xf>
    <xf numFmtId="164" fontId="5" fillId="6" borderId="9" xfId="1" applyNumberFormat="1" applyFont="1" applyFill="1" applyBorder="1" applyAlignment="1">
      <alignment horizontal="center" vertical="center"/>
    </xf>
    <xf numFmtId="164" fontId="5" fillId="6" borderId="9" xfId="1" applyNumberFormat="1" applyFont="1" applyFill="1" applyBorder="1" applyAlignment="1">
      <alignment horizontal="center" vertical="center" wrapText="1"/>
    </xf>
    <xf numFmtId="164" fontId="0" fillId="5" borderId="1" xfId="0" applyNumberFormat="1" applyFill="1" applyBorder="1"/>
    <xf numFmtId="164" fontId="19" fillId="6" borderId="1" xfId="0" applyNumberFormat="1" applyFont="1" applyFill="1" applyBorder="1" applyAlignment="1">
      <alignment vertical="top" wrapText="1"/>
    </xf>
    <xf numFmtId="164" fontId="15" fillId="5" borderId="1" xfId="0" applyNumberFormat="1" applyFont="1" applyFill="1" applyBorder="1"/>
    <xf numFmtId="164" fontId="6" fillId="3" borderId="1" xfId="1" applyNumberFormat="1" applyFont="1" applyFill="1" applyBorder="1" applyAlignment="1">
      <alignment horizontal="left" vertical="center" wrapText="1"/>
    </xf>
    <xf numFmtId="164" fontId="15" fillId="6" borderId="1" xfId="0" applyNumberFormat="1" applyFont="1" applyFill="1" applyBorder="1"/>
    <xf numFmtId="164" fontId="5" fillId="3" borderId="1" xfId="1" applyNumberFormat="1" applyFont="1" applyFill="1" applyBorder="1" applyAlignment="1">
      <alignment horizontal="left" vertical="center" wrapText="1"/>
    </xf>
    <xf numFmtId="164" fontId="15" fillId="6" borderId="0" xfId="0" applyNumberFormat="1" applyFont="1" applyFill="1" applyBorder="1"/>
    <xf numFmtId="164" fontId="0" fillId="0" borderId="0" xfId="0" applyNumberFormat="1" applyFill="1"/>
    <xf numFmtId="164" fontId="14" fillId="0" borderId="1" xfId="0" applyNumberFormat="1" applyFont="1" applyFill="1" applyBorder="1" applyAlignment="1">
      <alignment horizontal="center" vertical="center" wrapText="1"/>
    </xf>
    <xf numFmtId="164" fontId="14" fillId="10" borderId="1" xfId="1" applyNumberFormat="1" applyFont="1" applyFill="1" applyBorder="1" applyAlignment="1">
      <alignment horizontal="left" vertical="center"/>
    </xf>
    <xf numFmtId="164" fontId="14" fillId="10" borderId="1" xfId="1" applyNumberFormat="1" applyFont="1" applyFill="1" applyBorder="1" applyAlignment="1">
      <alignment horizontal="center" vertical="center"/>
    </xf>
    <xf numFmtId="49" fontId="16" fillId="10" borderId="1" xfId="1" applyNumberFormat="1" applyFont="1" applyFill="1" applyBorder="1" applyAlignment="1">
      <alignment horizontal="center" vertical="center" wrapText="1"/>
    </xf>
    <xf numFmtId="164" fontId="15" fillId="7" borderId="0" xfId="0" applyNumberFormat="1" applyFont="1" applyFill="1"/>
    <xf numFmtId="164" fontId="15" fillId="0" borderId="0" xfId="0" applyNumberFormat="1" applyFont="1" applyFill="1"/>
    <xf numFmtId="49" fontId="14" fillId="0" borderId="1" xfId="1" applyNumberFormat="1" applyFont="1" applyFill="1" applyBorder="1" applyAlignment="1">
      <alignment horizontal="left" vertical="center"/>
    </xf>
    <xf numFmtId="49" fontId="14" fillId="0" borderId="6" xfId="1" applyNumberFormat="1" applyFont="1" applyFill="1" applyBorder="1" applyAlignment="1">
      <alignment horizontal="left" vertical="center"/>
    </xf>
    <xf numFmtId="164" fontId="15" fillId="0" borderId="1" xfId="0" applyNumberFormat="1" applyFont="1" applyFill="1" applyBorder="1"/>
    <xf numFmtId="49" fontId="14" fillId="10" borderId="1" xfId="1" applyNumberFormat="1" applyFont="1" applyFill="1" applyBorder="1" applyAlignment="1">
      <alignment horizontal="left" vertical="center"/>
    </xf>
    <xf numFmtId="164" fontId="14" fillId="10" borderId="1" xfId="1" applyNumberFormat="1" applyFont="1" applyFill="1" applyBorder="1" applyAlignment="1">
      <alignment horizontal="left" vertical="center" wrapText="1"/>
    </xf>
    <xf numFmtId="164" fontId="6" fillId="10" borderId="1" xfId="1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/>
    <xf numFmtId="164" fontId="7" fillId="0" borderId="1" xfId="1" applyNumberFormat="1" applyFont="1" applyFill="1" applyBorder="1" applyAlignment="1">
      <alignment horizontal="left" vertical="center" wrapText="1"/>
    </xf>
    <xf numFmtId="164" fontId="12" fillId="10" borderId="0" xfId="0" applyNumberFormat="1" applyFont="1" applyFill="1"/>
    <xf numFmtId="49" fontId="5" fillId="10" borderId="1" xfId="1" applyNumberFormat="1" applyFont="1" applyFill="1" applyBorder="1" applyAlignment="1">
      <alignment horizontal="center" vertical="center" wrapText="1"/>
    </xf>
    <xf numFmtId="164" fontId="14" fillId="10" borderId="1" xfId="1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/>
    <xf numFmtId="164" fontId="0" fillId="5" borderId="0" xfId="0" applyNumberFormat="1" applyFont="1" applyFill="1"/>
    <xf numFmtId="49" fontId="7" fillId="6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4" fontId="2" fillId="5" borderId="0" xfId="0" applyNumberFormat="1" applyFont="1" applyFill="1"/>
    <xf numFmtId="49" fontId="6" fillId="0" borderId="1" xfId="1" applyNumberFormat="1" applyFont="1" applyFill="1" applyBorder="1" applyAlignment="1">
      <alignment horizontal="center" vertical="center" wrapText="1"/>
    </xf>
    <xf numFmtId="164" fontId="2" fillId="6" borderId="0" xfId="0" applyNumberFormat="1" applyFont="1" applyFill="1"/>
    <xf numFmtId="164" fontId="5" fillId="10" borderId="1" xfId="1" applyNumberFormat="1" applyFont="1" applyFill="1" applyBorder="1" applyAlignment="1">
      <alignment horizontal="left" vertical="center" wrapText="1"/>
    </xf>
    <xf numFmtId="164" fontId="15" fillId="10" borderId="0" xfId="0" applyNumberFormat="1" applyFont="1" applyFill="1"/>
    <xf numFmtId="164" fontId="25" fillId="10" borderId="0" xfId="0" applyNumberFormat="1" applyFont="1" applyFill="1"/>
    <xf numFmtId="49" fontId="14" fillId="10" borderId="1" xfId="1" applyNumberFormat="1" applyFont="1" applyFill="1" applyBorder="1" applyAlignment="1">
      <alignment horizontal="center" vertical="center" wrapText="1"/>
    </xf>
    <xf numFmtId="164" fontId="16" fillId="10" borderId="1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left" vertical="center" wrapText="1"/>
    </xf>
    <xf numFmtId="164" fontId="5" fillId="6" borderId="6" xfId="1" applyNumberFormat="1" applyFont="1" applyFill="1" applyBorder="1" applyAlignment="1">
      <alignment horizontal="center" vertical="center" wrapText="1"/>
    </xf>
    <xf numFmtId="164" fontId="5" fillId="6" borderId="6" xfId="1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/>
    <xf numFmtId="49" fontId="5" fillId="0" borderId="9" xfId="0" applyNumberFormat="1" applyFont="1" applyFill="1" applyBorder="1" applyAlignment="1">
      <alignment horizontal="center" vertical="center" wrapText="1"/>
    </xf>
    <xf numFmtId="164" fontId="15" fillId="2" borderId="0" xfId="0" applyNumberFormat="1" applyFont="1" applyFill="1"/>
    <xf numFmtId="164" fontId="12" fillId="7" borderId="0" xfId="0" applyNumberFormat="1" applyFont="1" applyFill="1"/>
    <xf numFmtId="49" fontId="16" fillId="0" borderId="6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left" vertical="top" wrapText="1"/>
    </xf>
    <xf numFmtId="49" fontId="11" fillId="7" borderId="9" xfId="1" applyNumberFormat="1" applyFont="1" applyFill="1" applyBorder="1" applyAlignment="1">
      <alignment horizontal="center" vertical="center" wrapText="1"/>
    </xf>
    <xf numFmtId="164" fontId="15" fillId="10" borderId="1" xfId="0" applyNumberFormat="1" applyFont="1" applyFill="1" applyBorder="1"/>
    <xf numFmtId="164" fontId="5" fillId="10" borderId="1" xfId="1" applyNumberFormat="1" applyFont="1" applyFill="1" applyBorder="1" applyAlignment="1">
      <alignment horizontal="left" vertical="top" wrapText="1"/>
    </xf>
    <xf numFmtId="49" fontId="16" fillId="10" borderId="9" xfId="1" applyNumberFormat="1" applyFont="1" applyFill="1" applyBorder="1" applyAlignment="1">
      <alignment horizontal="center" vertical="center" wrapText="1"/>
    </xf>
    <xf numFmtId="164" fontId="14" fillId="10" borderId="9" xfId="1" applyNumberFormat="1" applyFont="1" applyFill="1" applyBorder="1" applyAlignment="1">
      <alignment horizontal="left" vertical="center"/>
    </xf>
    <xf numFmtId="164" fontId="16" fillId="10" borderId="9" xfId="1" applyNumberFormat="1" applyFont="1" applyFill="1" applyBorder="1" applyAlignment="1">
      <alignment horizontal="center" vertical="center" wrapText="1"/>
    </xf>
    <xf numFmtId="164" fontId="14" fillId="10" borderId="9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center" vertical="center" wrapText="1"/>
    </xf>
    <xf numFmtId="49" fontId="16" fillId="0" borderId="9" xfId="1" applyNumberFormat="1" applyFont="1" applyFill="1" applyBorder="1" applyAlignment="1">
      <alignment horizontal="center" vertical="center" wrapText="1"/>
    </xf>
    <xf numFmtId="49" fontId="16" fillId="2" borderId="9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164" fontId="22" fillId="4" borderId="0" xfId="0" applyNumberFormat="1" applyFont="1" applyFill="1"/>
    <xf numFmtId="49" fontId="11" fillId="4" borderId="9" xfId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/>
    <xf numFmtId="164" fontId="0" fillId="0" borderId="0" xfId="0" applyNumberFormat="1" applyFont="1" applyFill="1"/>
    <xf numFmtId="49" fontId="6" fillId="0" borderId="9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/>
    </xf>
    <xf numFmtId="164" fontId="0" fillId="0" borderId="1" xfId="0" applyNumberFormat="1" applyFont="1" applyFill="1" applyBorder="1"/>
    <xf numFmtId="164" fontId="7" fillId="0" borderId="1" xfId="1" applyNumberFormat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left" vertical="top" wrapText="1"/>
    </xf>
    <xf numFmtId="49" fontId="14" fillId="10" borderId="9" xfId="1" applyNumberFormat="1" applyFont="1" applyFill="1" applyBorder="1" applyAlignment="1">
      <alignment horizontal="left" vertical="center"/>
    </xf>
    <xf numFmtId="164" fontId="16" fillId="10" borderId="8" xfId="1" applyNumberFormat="1" applyFont="1" applyFill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Fill="1" applyBorder="1"/>
    <xf numFmtId="164" fontId="22" fillId="2" borderId="0" xfId="0" applyNumberFormat="1" applyFont="1" applyFill="1" applyBorder="1"/>
    <xf numFmtId="164" fontId="0" fillId="0" borderId="0" xfId="0" applyNumberFormat="1" applyFont="1" applyFill="1" applyBorder="1"/>
    <xf numFmtId="164" fontId="12" fillId="0" borderId="0" xfId="0" applyNumberFormat="1" applyFont="1" applyFill="1" applyBorder="1"/>
    <xf numFmtId="49" fontId="6" fillId="0" borderId="9" xfId="1" applyNumberFormat="1" applyFont="1" applyFill="1" applyBorder="1" applyAlignment="1">
      <alignment horizontal="left" vertical="center"/>
    </xf>
    <xf numFmtId="49" fontId="6" fillId="0" borderId="13" xfId="1" applyNumberFormat="1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/>
    <xf numFmtId="164" fontId="15" fillId="0" borderId="4" xfId="0" applyNumberFormat="1" applyFont="1" applyFill="1" applyBorder="1"/>
    <xf numFmtId="164" fontId="22" fillId="5" borderId="0" xfId="0" applyNumberFormat="1" applyFont="1" applyFill="1"/>
    <xf numFmtId="164" fontId="0" fillId="7" borderId="0" xfId="0" applyNumberFormat="1" applyFill="1"/>
    <xf numFmtId="49" fontId="7" fillId="0" borderId="1" xfId="0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indent="2"/>
    </xf>
    <xf numFmtId="49" fontId="6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9" fontId="5" fillId="6" borderId="1" xfId="2" applyFont="1" applyFill="1" applyBorder="1" applyAlignment="1">
      <alignment horizontal="center" vertical="center" wrapText="1"/>
    </xf>
    <xf numFmtId="164" fontId="24" fillId="0" borderId="0" xfId="0" applyNumberFormat="1" applyFont="1" applyFill="1"/>
    <xf numFmtId="49" fontId="11" fillId="0" borderId="1" xfId="1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/>
    <xf numFmtId="49" fontId="6" fillId="6" borderId="1" xfId="1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/>
    <xf numFmtId="49" fontId="9" fillId="0" borderId="1" xfId="1" applyNumberFormat="1" applyFont="1" applyFill="1" applyBorder="1" applyAlignment="1">
      <alignment horizontal="center" vertical="center" wrapText="1"/>
    </xf>
    <xf numFmtId="164" fontId="29" fillId="0" borderId="0" xfId="0" applyNumberFormat="1" applyFont="1" applyFill="1" applyBorder="1"/>
    <xf numFmtId="164" fontId="7" fillId="0" borderId="1" xfId="1" applyNumberFormat="1" applyFont="1" applyFill="1" applyBorder="1" applyAlignment="1">
      <alignment horizontal="center" vertical="center" wrapText="1"/>
    </xf>
    <xf numFmtId="164" fontId="29" fillId="10" borderId="0" xfId="0" applyNumberFormat="1" applyFont="1" applyFill="1"/>
    <xf numFmtId="49" fontId="9" fillId="10" borderId="1" xfId="1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164" fontId="7" fillId="0" borderId="2" xfId="0" applyNumberFormat="1" applyFont="1" applyBorder="1" applyAlignment="1">
      <alignment horizontal="left" vertical="center" wrapText="1"/>
    </xf>
    <xf numFmtId="164" fontId="17" fillId="3" borderId="1" xfId="1" applyNumberFormat="1" applyFont="1" applyFill="1" applyBorder="1" applyAlignment="1">
      <alignment horizontal="left" vertical="center"/>
    </xf>
    <xf numFmtId="164" fontId="17" fillId="9" borderId="1" xfId="0" applyNumberFormat="1" applyFont="1" applyFill="1" applyBorder="1" applyAlignment="1">
      <alignment horizontal="left" vertical="center" wrapText="1"/>
    </xf>
    <xf numFmtId="164" fontId="17" fillId="3" borderId="1" xfId="0" applyNumberFormat="1" applyFont="1" applyFill="1" applyBorder="1" applyAlignment="1">
      <alignment horizontal="left" vertical="center" wrapText="1"/>
    </xf>
    <xf numFmtId="164" fontId="17" fillId="10" borderId="9" xfId="1" applyNumberFormat="1" applyFont="1" applyFill="1" applyBorder="1" applyAlignment="1">
      <alignment horizontal="left" vertical="center"/>
    </xf>
    <xf numFmtId="164" fontId="17" fillId="0" borderId="1" xfId="1" applyNumberFormat="1" applyFont="1" applyFill="1" applyBorder="1" applyAlignment="1">
      <alignment horizontal="left" vertical="center"/>
    </xf>
    <xf numFmtId="164" fontId="17" fillId="0" borderId="1" xfId="0" applyNumberFormat="1" applyFont="1" applyFill="1" applyBorder="1" applyAlignment="1">
      <alignment horizontal="left" vertical="center" wrapText="1"/>
    </xf>
    <xf numFmtId="49" fontId="5" fillId="10" borderId="6" xfId="1" applyNumberFormat="1" applyFont="1" applyFill="1" applyBorder="1" applyAlignment="1">
      <alignment horizontal="center" vertical="center" wrapText="1"/>
    </xf>
    <xf numFmtId="164" fontId="5" fillId="10" borderId="6" xfId="1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Border="1"/>
    <xf numFmtId="49" fontId="5" fillId="2" borderId="9" xfId="1" applyNumberFormat="1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5" fillId="0" borderId="6" xfId="1" applyNumberFormat="1" applyFont="1" applyFill="1" applyBorder="1" applyAlignment="1">
      <alignment horizontal="left" vertical="center"/>
    </xf>
    <xf numFmtId="164" fontId="5" fillId="6" borderId="1" xfId="1" applyNumberFormat="1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left" vertical="center"/>
    </xf>
    <xf numFmtId="49" fontId="10" fillId="2" borderId="9" xfId="1" applyNumberFormat="1" applyFont="1" applyFill="1" applyBorder="1" applyAlignment="1">
      <alignment horizontal="center" vertical="center" wrapText="1"/>
    </xf>
    <xf numFmtId="49" fontId="5" fillId="6" borderId="6" xfId="1" applyNumberFormat="1" applyFont="1" applyFill="1" applyBorder="1" applyAlignment="1">
      <alignment horizontal="center" vertical="center" wrapText="1"/>
    </xf>
    <xf numFmtId="164" fontId="25" fillId="10" borderId="1" xfId="0" applyNumberFormat="1" applyFont="1" applyFill="1" applyBorder="1"/>
    <xf numFmtId="0" fontId="31" fillId="10" borderId="1" xfId="0" applyFont="1" applyFill="1" applyBorder="1" applyAlignment="1">
      <alignment vertical="top" wrapText="1"/>
    </xf>
    <xf numFmtId="164" fontId="25" fillId="5" borderId="0" xfId="0" applyNumberFormat="1" applyFont="1" applyFill="1"/>
    <xf numFmtId="49" fontId="14" fillId="6" borderId="1" xfId="1" applyNumberFormat="1" applyFont="1" applyFill="1" applyBorder="1" applyAlignment="1">
      <alignment horizontal="center" vertical="center" wrapText="1"/>
    </xf>
    <xf numFmtId="164" fontId="25" fillId="6" borderId="0" xfId="0" applyNumberFormat="1" applyFont="1" applyFill="1" applyBorder="1"/>
    <xf numFmtId="164" fontId="25" fillId="6" borderId="0" xfId="0" applyNumberFormat="1" applyFont="1" applyFill="1"/>
    <xf numFmtId="164" fontId="8" fillId="10" borderId="1" xfId="1" applyNumberFormat="1" applyFont="1" applyFill="1" applyBorder="1" applyAlignment="1">
      <alignment horizontal="left" vertical="top" wrapText="1"/>
    </xf>
    <xf numFmtId="164" fontId="8" fillId="10" borderId="1" xfId="1" applyNumberFormat="1" applyFont="1" applyFill="1" applyBorder="1" applyAlignment="1">
      <alignment horizontal="left" vertical="center"/>
    </xf>
    <xf numFmtId="164" fontId="0" fillId="6" borderId="0" xfId="0" applyNumberFormat="1" applyFill="1"/>
    <xf numFmtId="164" fontId="25" fillId="12" borderId="1" xfId="0" applyNumberFormat="1" applyFont="1" applyFill="1" applyBorder="1"/>
    <xf numFmtId="49" fontId="21" fillId="4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32" fillId="10" borderId="1" xfId="0" applyNumberFormat="1" applyFont="1" applyFill="1" applyBorder="1" applyAlignment="1">
      <alignment vertical="center"/>
    </xf>
    <xf numFmtId="164" fontId="12" fillId="6" borderId="1" xfId="0" applyNumberFormat="1" applyFont="1" applyFill="1" applyBorder="1" applyAlignment="1">
      <alignment horizontal="center" vertical="center"/>
    </xf>
    <xf numFmtId="164" fontId="33" fillId="0" borderId="0" xfId="0" applyNumberFormat="1" applyFont="1" applyFill="1"/>
    <xf numFmtId="164" fontId="33" fillId="0" borderId="0" xfId="0" applyNumberFormat="1" applyFont="1" applyFill="1" applyBorder="1"/>
    <xf numFmtId="164" fontId="22" fillId="7" borderId="0" xfId="0" applyNumberFormat="1" applyFont="1" applyFill="1"/>
    <xf numFmtId="164" fontId="0" fillId="5" borderId="0" xfId="0" applyNumberFormat="1" applyFill="1" applyAlignment="1">
      <alignment vertical="center"/>
    </xf>
    <xf numFmtId="164" fontId="0" fillId="0" borderId="0" xfId="0" applyNumberFormat="1" applyAlignment="1">
      <alignment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64" fontId="5" fillId="0" borderId="6" xfId="1" applyNumberFormat="1" applyFont="1" applyFill="1" applyBorder="1" applyAlignment="1">
      <alignment horizontal="left" vertical="center" wrapText="1"/>
    </xf>
    <xf numFmtId="49" fontId="14" fillId="12" borderId="1" xfId="1" applyNumberFormat="1" applyFont="1" applyFill="1" applyBorder="1" applyAlignment="1">
      <alignment horizontal="center" vertical="center" wrapText="1"/>
    </xf>
    <xf numFmtId="164" fontId="14" fillId="12" borderId="1" xfId="1" applyNumberFormat="1" applyFont="1" applyFill="1" applyBorder="1" applyAlignment="1">
      <alignment horizontal="left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164" fontId="25" fillId="12" borderId="4" xfId="0" applyNumberFormat="1" applyFont="1" applyFill="1" applyBorder="1"/>
    <xf numFmtId="49" fontId="5" fillId="10" borderId="9" xfId="1" applyNumberFormat="1" applyFont="1" applyFill="1" applyBorder="1" applyAlignment="1">
      <alignment horizontal="center" vertical="center" wrapText="1"/>
    </xf>
    <xf numFmtId="164" fontId="5" fillId="10" borderId="9" xfId="1" applyNumberFormat="1" applyFont="1" applyFill="1" applyBorder="1" applyAlignment="1">
      <alignment horizontal="center" vertical="center" wrapText="1"/>
    </xf>
    <xf numFmtId="164" fontId="21" fillId="10" borderId="1" xfId="1" applyNumberFormat="1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9" fontId="5" fillId="6" borderId="9" xfId="2" applyFont="1" applyFill="1" applyBorder="1" applyAlignment="1">
      <alignment horizontal="center" vertical="center" wrapText="1"/>
    </xf>
    <xf numFmtId="164" fontId="2" fillId="5" borderId="1" xfId="0" applyNumberFormat="1" applyFont="1" applyFill="1" applyBorder="1"/>
    <xf numFmtId="164" fontId="2" fillId="6" borderId="1" xfId="0" applyNumberFormat="1" applyFont="1" applyFill="1" applyBorder="1"/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top" wrapText="1"/>
    </xf>
    <xf numFmtId="164" fontId="35" fillId="10" borderId="0" xfId="0" applyNumberFormat="1" applyFont="1" applyFill="1"/>
    <xf numFmtId="49" fontId="21" fillId="10" borderId="6" xfId="1" applyNumberFormat="1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center" vertical="center"/>
    </xf>
    <xf numFmtId="164" fontId="21" fillId="10" borderId="6" xfId="1" applyNumberFormat="1" applyFont="1" applyFill="1" applyBorder="1" applyAlignment="1">
      <alignment horizontal="center" vertical="center" wrapText="1"/>
    </xf>
    <xf numFmtId="164" fontId="24" fillId="7" borderId="0" xfId="0" applyNumberFormat="1" applyFont="1" applyFill="1" applyAlignment="1">
      <alignment horizontal="left"/>
    </xf>
    <xf numFmtId="164" fontId="5" fillId="6" borderId="1" xfId="1" applyNumberFormat="1" applyFont="1" applyFill="1" applyBorder="1" applyAlignment="1">
      <alignment horizontal="left" vertical="center" wrapText="1"/>
    </xf>
    <xf numFmtId="2" fontId="5" fillId="6" borderId="1" xfId="1" applyNumberFormat="1" applyFont="1" applyFill="1" applyBorder="1" applyAlignment="1">
      <alignment horizontal="center" vertical="center" wrapText="1"/>
    </xf>
    <xf numFmtId="2" fontId="5" fillId="6" borderId="6" xfId="1" applyNumberFormat="1" applyFont="1" applyFill="1" applyBorder="1" applyAlignment="1">
      <alignment horizontal="left" vertical="center" wrapText="1"/>
    </xf>
    <xf numFmtId="2" fontId="5" fillId="6" borderId="6" xfId="1" applyNumberFormat="1" applyFont="1" applyFill="1" applyBorder="1" applyAlignment="1">
      <alignment horizontal="center" vertical="center" wrapText="1"/>
    </xf>
    <xf numFmtId="2" fontId="14" fillId="10" borderId="9" xfId="1" applyNumberFormat="1" applyFont="1" applyFill="1" applyBorder="1" applyAlignment="1">
      <alignment horizontal="left" vertical="center" wrapText="1"/>
    </xf>
    <xf numFmtId="2" fontId="5" fillId="6" borderId="1" xfId="1" applyNumberFormat="1" applyFont="1" applyFill="1" applyBorder="1" applyAlignment="1">
      <alignment horizontal="left" vertical="center" wrapText="1"/>
    </xf>
    <xf numFmtId="2" fontId="12" fillId="6" borderId="1" xfId="0" applyNumberFormat="1" applyFont="1" applyFill="1" applyBorder="1"/>
    <xf numFmtId="164" fontId="21" fillId="6" borderId="1" xfId="1" applyNumberFormat="1" applyFont="1" applyFill="1" applyBorder="1" applyAlignment="1">
      <alignment horizontal="left" vertical="center" wrapText="1"/>
    </xf>
    <xf numFmtId="164" fontId="12" fillId="10" borderId="6" xfId="0" applyNumberFormat="1" applyFont="1" applyFill="1" applyBorder="1"/>
    <xf numFmtId="164" fontId="12" fillId="10" borderId="9" xfId="0" applyNumberFormat="1" applyFont="1" applyFill="1" applyBorder="1"/>
    <xf numFmtId="49" fontId="5" fillId="0" borderId="1" xfId="1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164" fontId="15" fillId="6" borderId="4" xfId="0" applyNumberFormat="1" applyFont="1" applyFill="1" applyBorder="1"/>
    <xf numFmtId="164" fontId="12" fillId="6" borderId="4" xfId="0" applyNumberFormat="1" applyFont="1" applyFill="1" applyBorder="1"/>
    <xf numFmtId="164" fontId="12" fillId="10" borderId="11" xfId="0" applyNumberFormat="1" applyFont="1" applyFill="1" applyBorder="1"/>
    <xf numFmtId="164" fontId="12" fillId="10" borderId="12" xfId="0" applyNumberFormat="1" applyFont="1" applyFill="1" applyBorder="1"/>
    <xf numFmtId="164" fontId="2" fillId="6" borderId="4" xfId="0" applyNumberFormat="1" applyFont="1" applyFill="1" applyBorder="1"/>
    <xf numFmtId="164" fontId="25" fillId="10" borderId="4" xfId="0" applyNumberFormat="1" applyFont="1" applyFill="1" applyBorder="1"/>
    <xf numFmtId="164" fontId="12" fillId="10" borderId="4" xfId="0" applyNumberFormat="1" applyFont="1" applyFill="1" applyBorder="1"/>
    <xf numFmtId="164" fontId="25" fillId="0" borderId="0" xfId="0" applyNumberFormat="1" applyFont="1" applyFill="1" applyBorder="1"/>
    <xf numFmtId="164" fontId="2" fillId="0" borderId="0" xfId="0" applyNumberFormat="1" applyFont="1" applyFill="1" applyBorder="1"/>
    <xf numFmtId="164" fontId="0" fillId="0" borderId="0" xfId="0" applyNumberFormat="1" applyFill="1" applyBorder="1" applyAlignment="1">
      <alignment horizontal="left"/>
    </xf>
    <xf numFmtId="164" fontId="22" fillId="0" borderId="0" xfId="0" applyNumberFormat="1" applyFont="1" applyFill="1" applyBorder="1"/>
    <xf numFmtId="164" fontId="35" fillId="0" borderId="0" xfId="0" applyNumberFormat="1" applyFont="1" applyFill="1" applyBorder="1"/>
    <xf numFmtId="164" fontId="24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21" fillId="10" borderId="6" xfId="1" applyNumberFormat="1" applyFont="1" applyFill="1" applyBorder="1" applyAlignment="1">
      <alignment horizontal="left" vertical="center" wrapText="1"/>
    </xf>
    <xf numFmtId="164" fontId="11" fillId="7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21" fillId="7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/>
    </xf>
    <xf numFmtId="4" fontId="21" fillId="10" borderId="2" xfId="1" applyNumberFormat="1" applyFont="1" applyFill="1" applyBorder="1" applyAlignment="1">
      <alignment horizontal="center" vertical="center" wrapText="1"/>
    </xf>
    <xf numFmtId="4" fontId="21" fillId="10" borderId="7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/>
    </xf>
    <xf numFmtId="4" fontId="20" fillId="0" borderId="2" xfId="1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10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left" vertical="center"/>
    </xf>
    <xf numFmtId="165" fontId="12" fillId="6" borderId="1" xfId="0" applyNumberFormat="1" applyFont="1" applyFill="1" applyBorder="1"/>
    <xf numFmtId="165" fontId="16" fillId="3" borderId="1" xfId="1" applyNumberFormat="1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/>
    </xf>
    <xf numFmtId="165" fontId="12" fillId="10" borderId="1" xfId="0" applyNumberFormat="1" applyFont="1" applyFill="1" applyBorder="1"/>
    <xf numFmtId="165" fontId="7" fillId="0" borderId="1" xfId="1" applyNumberFormat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left" vertical="center" wrapText="1"/>
    </xf>
    <xf numFmtId="165" fontId="16" fillId="10" borderId="1" xfId="1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/>
    </xf>
    <xf numFmtId="165" fontId="5" fillId="7" borderId="1" xfId="1" applyNumberFormat="1" applyFont="1" applyFill="1" applyBorder="1" applyAlignment="1">
      <alignment horizontal="center" vertical="center" wrapText="1"/>
    </xf>
    <xf numFmtId="165" fontId="14" fillId="9" borderId="1" xfId="0" applyNumberFormat="1" applyFont="1" applyFill="1" applyBorder="1" applyAlignment="1">
      <alignment horizontal="left" vertical="center" wrapText="1"/>
    </xf>
    <xf numFmtId="165" fontId="5" fillId="6" borderId="6" xfId="1" applyNumberFormat="1" applyFont="1" applyFill="1" applyBorder="1" applyAlignment="1">
      <alignment horizontal="center" vertical="center" wrapText="1"/>
    </xf>
    <xf numFmtId="165" fontId="5" fillId="10" borderId="6" xfId="1" applyNumberFormat="1" applyFont="1" applyFill="1" applyBorder="1" applyAlignment="1">
      <alignment horizontal="center" vertical="center" wrapText="1"/>
    </xf>
    <xf numFmtId="165" fontId="5" fillId="10" borderId="9" xfId="1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165" fontId="16" fillId="10" borderId="8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 indent="2"/>
    </xf>
    <xf numFmtId="165" fontId="14" fillId="10" borderId="1" xfId="1" applyNumberFormat="1" applyFont="1" applyFill="1" applyBorder="1" applyAlignment="1">
      <alignment horizontal="center" vertical="center" wrapText="1"/>
    </xf>
    <xf numFmtId="165" fontId="6" fillId="10" borderId="1" xfId="1" applyNumberFormat="1" applyFont="1" applyFill="1" applyBorder="1" applyAlignment="1">
      <alignment horizontal="left" vertical="center" wrapText="1"/>
    </xf>
    <xf numFmtId="165" fontId="21" fillId="10" borderId="6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5" fontId="31" fillId="10" borderId="1" xfId="0" applyNumberFormat="1" applyFont="1" applyFill="1" applyBorder="1" applyAlignment="1">
      <alignment horizontal="center" vertical="center" wrapText="1"/>
    </xf>
    <xf numFmtId="165" fontId="14" fillId="3" borderId="1" xfId="1" applyNumberFormat="1" applyFont="1" applyFill="1" applyBorder="1" applyAlignment="1">
      <alignment horizontal="center" vertical="center" wrapText="1"/>
    </xf>
    <xf numFmtId="165" fontId="8" fillId="10" borderId="1" xfId="1" applyNumberFormat="1" applyFont="1" applyFill="1" applyBorder="1" applyAlignment="1">
      <alignment horizontal="left" vertical="center"/>
    </xf>
    <xf numFmtId="165" fontId="5" fillId="6" borderId="1" xfId="1" applyNumberFormat="1" applyFont="1" applyFill="1" applyBorder="1" applyAlignment="1">
      <alignment horizontal="left" vertical="center"/>
    </xf>
    <xf numFmtId="165" fontId="14" fillId="10" borderId="1" xfId="1" applyNumberFormat="1" applyFont="1" applyFill="1" applyBorder="1" applyAlignment="1">
      <alignment horizontal="left" vertical="center"/>
    </xf>
    <xf numFmtId="165" fontId="5" fillId="0" borderId="6" xfId="1" applyNumberFormat="1" applyFont="1" applyFill="1" applyBorder="1" applyAlignment="1">
      <alignment horizontal="center" vertical="center" wrapText="1"/>
    </xf>
    <xf numFmtId="165" fontId="14" fillId="12" borderId="1" xfId="1" applyNumberFormat="1" applyFont="1" applyFill="1" applyBorder="1" applyAlignment="1">
      <alignment horizontal="left" vertical="center" wrapText="1"/>
    </xf>
    <xf numFmtId="164" fontId="19" fillId="0" borderId="1" xfId="0" applyNumberFormat="1" applyFont="1" applyFill="1" applyBorder="1" applyAlignment="1">
      <alignment wrapText="1"/>
    </xf>
    <xf numFmtId="164" fontId="19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wrapText="1"/>
    </xf>
    <xf numFmtId="164" fontId="19" fillId="0" borderId="1" xfId="0" applyNumberFormat="1" applyFont="1" applyFill="1" applyBorder="1" applyAlignment="1">
      <alignment horizontal="left" wrapText="1"/>
    </xf>
    <xf numFmtId="164" fontId="36" fillId="0" borderId="1" xfId="0" applyNumberFormat="1" applyFont="1" applyFill="1" applyBorder="1" applyAlignment="1">
      <alignment wrapText="1"/>
    </xf>
    <xf numFmtId="164" fontId="37" fillId="0" borderId="1" xfId="0" applyNumberFormat="1" applyFont="1" applyFill="1" applyBorder="1" applyAlignment="1">
      <alignment wrapText="1"/>
    </xf>
    <xf numFmtId="164" fontId="36" fillId="0" borderId="1" xfId="0" applyNumberFormat="1" applyFont="1" applyFill="1" applyBorder="1" applyAlignment="1">
      <alignment horizontal="left" wrapText="1"/>
    </xf>
    <xf numFmtId="164" fontId="19" fillId="0" borderId="1" xfId="0" applyNumberFormat="1" applyFont="1" applyFill="1" applyBorder="1" applyAlignment="1">
      <alignment vertical="center" wrapText="1"/>
    </xf>
    <xf numFmtId="166" fontId="0" fillId="0" borderId="0" xfId="0" applyNumberFormat="1"/>
    <xf numFmtId="166" fontId="7" fillId="0" borderId="1" xfId="0" applyNumberFormat="1" applyFont="1" applyFill="1" applyBorder="1" applyAlignment="1">
      <alignment horizontal="center" vertical="center" wrapText="1"/>
    </xf>
    <xf numFmtId="166" fontId="5" fillId="6" borderId="1" xfId="1" applyNumberFormat="1" applyFont="1" applyFill="1" applyBorder="1" applyAlignment="1">
      <alignment horizontal="center" vertical="center"/>
    </xf>
    <xf numFmtId="166" fontId="6" fillId="0" borderId="3" xfId="0" applyNumberFormat="1" applyFont="1" applyBorder="1" applyAlignment="1">
      <alignment horizontal="left" vertical="center" wrapText="1"/>
    </xf>
    <xf numFmtId="166" fontId="5" fillId="6" borderId="1" xfId="1" applyNumberFormat="1" applyFont="1" applyFill="1" applyBorder="1" applyAlignment="1">
      <alignment horizontal="center" vertical="center" wrapText="1"/>
    </xf>
    <xf numFmtId="166" fontId="14" fillId="10" borderId="1" xfId="1" applyNumberFormat="1" applyFont="1" applyFill="1" applyBorder="1" applyAlignment="1">
      <alignment horizontal="center" vertical="center"/>
    </xf>
    <xf numFmtId="166" fontId="14" fillId="3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14" fillId="10" borderId="1" xfId="0" applyNumberFormat="1" applyFont="1" applyFill="1" applyBorder="1" applyAlignment="1">
      <alignment horizontal="center" vertical="center" wrapText="1"/>
    </xf>
    <xf numFmtId="166" fontId="14" fillId="9" borderId="1" xfId="0" applyNumberFormat="1" applyFont="1" applyFill="1" applyBorder="1" applyAlignment="1">
      <alignment horizontal="center" vertical="center" wrapText="1"/>
    </xf>
    <xf numFmtId="166" fontId="5" fillId="6" borderId="6" xfId="1" applyNumberFormat="1" applyFont="1" applyFill="1" applyBorder="1" applyAlignment="1">
      <alignment horizontal="center" vertical="center"/>
    </xf>
    <xf numFmtId="166" fontId="13" fillId="6" borderId="1" xfId="1" applyNumberFormat="1" applyFont="1" applyFill="1" applyBorder="1" applyAlignment="1">
      <alignment horizontal="left" vertical="center" wrapText="1"/>
    </xf>
    <xf numFmtId="166" fontId="21" fillId="10" borderId="9" xfId="1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 wrapText="1"/>
    </xf>
    <xf numFmtId="166" fontId="20" fillId="6" borderId="9" xfId="1" applyNumberFormat="1" applyFont="1" applyFill="1" applyBorder="1" applyAlignment="1">
      <alignment horizontal="left" vertical="center" wrapText="1"/>
    </xf>
    <xf numFmtId="166" fontId="13" fillId="0" borderId="1" xfId="1" applyNumberFormat="1" applyFont="1" applyFill="1" applyBorder="1" applyAlignment="1">
      <alignment horizontal="left" vertical="center" wrapText="1"/>
    </xf>
    <xf numFmtId="166" fontId="6" fillId="0" borderId="1" xfId="1" applyNumberFormat="1" applyFont="1" applyFill="1" applyBorder="1" applyAlignment="1">
      <alignment horizontal="left" vertical="center" wrapText="1"/>
    </xf>
    <xf numFmtId="166" fontId="21" fillId="10" borderId="1" xfId="1" applyNumberFormat="1" applyFont="1" applyFill="1" applyBorder="1" applyAlignment="1">
      <alignment horizontal="center" vertical="center" wrapText="1"/>
    </xf>
    <xf numFmtId="166" fontId="21" fillId="1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center" vertical="center"/>
    </xf>
    <xf numFmtId="166" fontId="5" fillId="0" borderId="6" xfId="1" applyNumberFormat="1" applyFont="1" applyFill="1" applyBorder="1" applyAlignment="1">
      <alignment horizontal="left" vertical="center"/>
    </xf>
    <xf numFmtId="166" fontId="32" fillId="10" borderId="1" xfId="0" applyNumberFormat="1" applyFont="1" applyFill="1" applyBorder="1" applyAlignment="1">
      <alignment horizontal="center"/>
    </xf>
    <xf numFmtId="164" fontId="5" fillId="6" borderId="1" xfId="1" applyNumberFormat="1" applyFont="1" applyFill="1" applyBorder="1" applyAlignment="1">
      <alignment horizontal="left" vertical="center" wrapText="1"/>
    </xf>
    <xf numFmtId="164" fontId="12" fillId="6" borderId="9" xfId="0" applyNumberFormat="1" applyFont="1" applyFill="1" applyBorder="1"/>
    <xf numFmtId="164" fontId="21" fillId="6" borderId="9" xfId="1" applyNumberFormat="1" applyFont="1" applyFill="1" applyBorder="1" applyAlignment="1">
      <alignment horizontal="left" vertical="center" wrapText="1"/>
    </xf>
    <xf numFmtId="166" fontId="13" fillId="6" borderId="9" xfId="1" applyNumberFormat="1" applyFont="1" applyFill="1" applyBorder="1" applyAlignment="1">
      <alignment horizontal="left" vertical="center" wrapText="1"/>
    </xf>
    <xf numFmtId="164" fontId="12" fillId="6" borderId="12" xfId="0" applyNumberFormat="1" applyFont="1" applyFill="1" applyBorder="1"/>
    <xf numFmtId="49" fontId="11" fillId="7" borderId="1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21" fillId="7" borderId="1" xfId="0" applyNumberFormat="1" applyFont="1" applyFill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left" vertical="center" wrapText="1"/>
    </xf>
    <xf numFmtId="164" fontId="11" fillId="4" borderId="8" xfId="1" applyNumberFormat="1" applyFont="1" applyFill="1" applyBorder="1" applyAlignment="1">
      <alignment horizontal="left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4" fillId="12" borderId="9" xfId="1" applyNumberFormat="1" applyFont="1" applyFill="1" applyBorder="1" applyAlignment="1">
      <alignment horizontal="center" vertical="center" wrapText="1"/>
    </xf>
    <xf numFmtId="164" fontId="14" fillId="12" borderId="9" xfId="1" applyNumberFormat="1" applyFont="1" applyFill="1" applyBorder="1" applyAlignment="1">
      <alignment horizontal="left" vertical="center" wrapText="1"/>
    </xf>
    <xf numFmtId="164" fontId="14" fillId="12" borderId="2" xfId="1" applyNumberFormat="1" applyFont="1" applyFill="1" applyBorder="1" applyAlignment="1">
      <alignment horizontal="left" vertical="center" wrapText="1"/>
    </xf>
    <xf numFmtId="164" fontId="14" fillId="12" borderId="3" xfId="1" applyNumberFormat="1" applyFont="1" applyFill="1" applyBorder="1" applyAlignment="1">
      <alignment horizontal="left" vertical="center" wrapText="1"/>
    </xf>
    <xf numFmtId="165" fontId="14" fillId="12" borderId="3" xfId="1" applyNumberFormat="1" applyFont="1" applyFill="1" applyBorder="1" applyAlignment="1">
      <alignment horizontal="left" vertical="center" wrapText="1"/>
    </xf>
    <xf numFmtId="165" fontId="14" fillId="12" borderId="4" xfId="1" applyNumberFormat="1" applyFont="1" applyFill="1" applyBorder="1" applyAlignment="1">
      <alignment horizontal="left" vertical="center" wrapText="1"/>
    </xf>
    <xf numFmtId="164" fontId="37" fillId="6" borderId="1" xfId="0" applyNumberFormat="1" applyFont="1" applyFill="1" applyBorder="1" applyAlignment="1">
      <alignment wrapText="1"/>
    </xf>
    <xf numFmtId="166" fontId="14" fillId="12" borderId="1" xfId="1" applyNumberFormat="1" applyFont="1" applyFill="1" applyBorder="1" applyAlignment="1">
      <alignment horizontal="center" vertical="center" wrapText="1"/>
    </xf>
    <xf numFmtId="164" fontId="0" fillId="12" borderId="0" xfId="0" applyNumberFormat="1" applyFill="1"/>
    <xf numFmtId="49" fontId="5" fillId="12" borderId="1" xfId="1" applyNumberFormat="1" applyFont="1" applyFill="1" applyBorder="1" applyAlignment="1">
      <alignment horizontal="center" vertical="center" wrapText="1"/>
    </xf>
    <xf numFmtId="164" fontId="5" fillId="12" borderId="1" xfId="1" applyNumberFormat="1" applyFont="1" applyFill="1" applyBorder="1" applyAlignment="1">
      <alignment horizontal="left" vertical="center" wrapText="1"/>
    </xf>
    <xf numFmtId="164" fontId="5" fillId="12" borderId="1" xfId="1" applyNumberFormat="1" applyFont="1" applyFill="1" applyBorder="1" applyAlignment="1">
      <alignment horizontal="center" vertical="center" wrapText="1"/>
    </xf>
    <xf numFmtId="165" fontId="5" fillId="12" borderId="1" xfId="1" applyNumberFormat="1" applyFont="1" applyFill="1" applyBorder="1" applyAlignment="1">
      <alignment horizontal="center" vertical="center" wrapText="1"/>
    </xf>
    <xf numFmtId="165" fontId="5" fillId="12" borderId="1" xfId="1" applyNumberFormat="1" applyFont="1" applyFill="1" applyBorder="1" applyAlignment="1">
      <alignment horizontal="left" vertical="center" wrapText="1"/>
    </xf>
    <xf numFmtId="164" fontId="19" fillId="12" borderId="1" xfId="0" applyNumberFormat="1" applyFont="1" applyFill="1" applyBorder="1" applyAlignment="1">
      <alignment wrapText="1"/>
    </xf>
    <xf numFmtId="164" fontId="0" fillId="12" borderId="0" xfId="0" applyNumberFormat="1" applyFill="1" applyBorder="1"/>
    <xf numFmtId="166" fontId="5" fillId="6" borderId="9" xfId="1" applyNumberFormat="1" applyFont="1" applyFill="1" applyBorder="1" applyAlignment="1">
      <alignment horizontal="center" vertical="center" wrapText="1"/>
    </xf>
    <xf numFmtId="4" fontId="5" fillId="6" borderId="7" xfId="1" applyNumberFormat="1" applyFont="1" applyFill="1" applyBorder="1" applyAlignment="1">
      <alignment horizontal="center" vertical="center" wrapText="1"/>
    </xf>
    <xf numFmtId="4" fontId="5" fillId="6" borderId="9" xfId="1" applyNumberFormat="1" applyFont="1" applyFill="1" applyBorder="1" applyAlignment="1">
      <alignment horizontal="center" vertical="center" wrapText="1"/>
    </xf>
    <xf numFmtId="166" fontId="14" fillId="12" borderId="9" xfId="1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164" fontId="12" fillId="7" borderId="0" xfId="0" applyNumberFormat="1" applyFont="1" applyFill="1"/>
    <xf numFmtId="164" fontId="12" fillId="6" borderId="0" xfId="0" applyNumberFormat="1" applyFont="1" applyFill="1" applyBorder="1"/>
    <xf numFmtId="49" fontId="5" fillId="4" borderId="9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 wrapText="1"/>
    </xf>
    <xf numFmtId="4" fontId="14" fillId="10" borderId="1" xfId="0" applyNumberFormat="1" applyFont="1" applyFill="1" applyBorder="1" applyAlignment="1">
      <alignment horizontal="center" vertical="center" wrapText="1"/>
    </xf>
    <xf numFmtId="164" fontId="15" fillId="10" borderId="0" xfId="0" applyNumberFormat="1" applyFont="1" applyFill="1" applyBorder="1"/>
    <xf numFmtId="49" fontId="21" fillId="7" borderId="9" xfId="1" applyNumberFormat="1" applyFont="1" applyFill="1" applyBorder="1" applyAlignment="1">
      <alignment horizontal="center" vertical="center" wrapText="1"/>
    </xf>
    <xf numFmtId="164" fontId="11" fillId="7" borderId="4" xfId="1" applyNumberFormat="1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" fontId="5" fillId="6" borderId="10" xfId="1" applyNumberFormat="1" applyFont="1" applyFill="1" applyBorder="1" applyAlignment="1">
      <alignment horizontal="center" vertical="center" wrapText="1"/>
    </xf>
    <xf numFmtId="164" fontId="0" fillId="6" borderId="0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top" wrapText="1"/>
    </xf>
    <xf numFmtId="165" fontId="30" fillId="0" borderId="1" xfId="0" applyNumberFormat="1" applyFont="1" applyBorder="1" applyAlignment="1">
      <alignment horizontal="center" vertical="center" wrapText="1"/>
    </xf>
    <xf numFmtId="164" fontId="11" fillId="7" borderId="2" xfId="1" applyNumberFormat="1" applyFont="1" applyFill="1" applyBorder="1" applyAlignment="1">
      <alignment vertical="center"/>
    </xf>
    <xf numFmtId="164" fontId="11" fillId="7" borderId="3" xfId="1" applyNumberFormat="1" applyFont="1" applyFill="1" applyBorder="1" applyAlignment="1">
      <alignment vertical="center"/>
    </xf>
    <xf numFmtId="164" fontId="21" fillId="0" borderId="2" xfId="1" applyNumberFormat="1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horizontal="center" vertical="center"/>
    </xf>
    <xf numFmtId="164" fontId="5" fillId="0" borderId="6" xfId="1" applyNumberFormat="1" applyFont="1" applyFill="1" applyBorder="1" applyAlignment="1">
      <alignment horizontal="center" vertical="center"/>
    </xf>
    <xf numFmtId="164" fontId="5" fillId="0" borderId="10" xfId="1" applyNumberFormat="1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vertical="top" wrapText="1"/>
    </xf>
    <xf numFmtId="49" fontId="14" fillId="7" borderId="9" xfId="1" applyNumberFormat="1" applyFont="1" applyFill="1" applyBorder="1" applyAlignment="1">
      <alignment horizontal="center" vertical="center"/>
    </xf>
    <xf numFmtId="164" fontId="19" fillId="0" borderId="9" xfId="0" applyNumberFormat="1" applyFont="1" applyFill="1" applyBorder="1" applyAlignment="1">
      <alignment wrapText="1"/>
    </xf>
    <xf numFmtId="164" fontId="19" fillId="0" borderId="0" xfId="0" applyNumberFormat="1" applyFont="1" applyFill="1" applyBorder="1" applyAlignment="1">
      <alignment wrapText="1"/>
    </xf>
    <xf numFmtId="0" fontId="19" fillId="0" borderId="0" xfId="0" applyFont="1" applyBorder="1" applyAlignment="1">
      <alignment wrapText="1"/>
    </xf>
    <xf numFmtId="164" fontId="0" fillId="6" borderId="0" xfId="0" applyNumberFormat="1" applyFill="1" applyBorder="1"/>
    <xf numFmtId="164" fontId="33" fillId="6" borderId="0" xfId="0" applyNumberFormat="1" applyFont="1" applyFill="1" applyBorder="1"/>
    <xf numFmtId="164" fontId="11" fillId="6" borderId="0" xfId="1" applyNumberFormat="1" applyFont="1" applyFill="1" applyBorder="1" applyAlignment="1">
      <alignment horizontal="left" vertical="center" wrapText="1"/>
    </xf>
    <xf numFmtId="164" fontId="0" fillId="6" borderId="0" xfId="0" applyNumberFormat="1" applyFill="1" applyBorder="1" applyAlignment="1">
      <alignment horizontal="left"/>
    </xf>
    <xf numFmtId="164" fontId="35" fillId="6" borderId="0" xfId="0" applyNumberFormat="1" applyFont="1" applyFill="1" applyBorder="1"/>
    <xf numFmtId="164" fontId="24" fillId="6" borderId="0" xfId="0" applyNumberFormat="1" applyFont="1" applyFill="1" applyBorder="1" applyAlignment="1">
      <alignment horizontal="left"/>
    </xf>
    <xf numFmtId="164" fontId="22" fillId="6" borderId="0" xfId="0" applyNumberFormat="1" applyFont="1" applyFill="1" applyBorder="1"/>
    <xf numFmtId="164" fontId="2" fillId="6" borderId="0" xfId="0" applyNumberFormat="1" applyFont="1" applyFill="1" applyBorder="1"/>
    <xf numFmtId="164" fontId="24" fillId="6" borderId="0" xfId="0" applyNumberFormat="1" applyFont="1" applyFill="1" applyBorder="1"/>
    <xf numFmtId="164" fontId="29" fillId="6" borderId="0" xfId="0" applyNumberFormat="1" applyFont="1" applyFill="1" applyBorder="1"/>
    <xf numFmtId="164" fontId="0" fillId="6" borderId="0" xfId="0" applyNumberFormat="1" applyFill="1" applyBorder="1" applyAlignment="1">
      <alignment vertical="center"/>
    </xf>
    <xf numFmtId="164" fontId="36" fillId="0" borderId="1" xfId="0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17" fillId="10" borderId="1" xfId="1" applyNumberFormat="1" applyFont="1" applyFill="1" applyBorder="1" applyAlignment="1">
      <alignment horizontal="center" vertical="center"/>
    </xf>
    <xf numFmtId="49" fontId="17" fillId="3" borderId="1" xfId="1" applyNumberFormat="1" applyFont="1" applyFill="1" applyBorder="1" applyAlignment="1">
      <alignment horizontal="center" vertical="center"/>
    </xf>
    <xf numFmtId="49" fontId="6" fillId="10" borderId="1" xfId="1" applyNumberFormat="1" applyFont="1" applyFill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5" fillId="6" borderId="2" xfId="1" applyNumberFormat="1" applyFont="1" applyFill="1" applyBorder="1" applyAlignment="1">
      <alignment horizontal="center" vertical="center" wrapText="1"/>
    </xf>
    <xf numFmtId="49" fontId="5" fillId="6" borderId="1" xfId="1" applyNumberFormat="1" applyFont="1" applyFill="1" applyBorder="1" applyAlignment="1">
      <alignment horizontal="center" vertical="center"/>
    </xf>
    <xf numFmtId="49" fontId="13" fillId="6" borderId="1" xfId="1" applyNumberFormat="1" applyFont="1" applyFill="1" applyBorder="1" applyAlignment="1">
      <alignment horizontal="left" vertical="center" wrapText="1"/>
    </xf>
    <xf numFmtId="49" fontId="13" fillId="6" borderId="9" xfId="1" applyNumberFormat="1" applyFont="1" applyFill="1" applyBorder="1" applyAlignment="1">
      <alignment horizontal="left" vertical="center" wrapText="1"/>
    </xf>
    <xf numFmtId="49" fontId="14" fillId="12" borderId="1" xfId="1" applyNumberFormat="1" applyFont="1" applyFill="1" applyBorder="1" applyAlignment="1">
      <alignment horizontal="left" vertical="center" wrapText="1"/>
    </xf>
    <xf numFmtId="49" fontId="14" fillId="12" borderId="9" xfId="1" applyNumberFormat="1" applyFont="1" applyFill="1" applyBorder="1" applyAlignment="1">
      <alignment horizontal="left" vertical="center" wrapText="1"/>
    </xf>
    <xf numFmtId="49" fontId="20" fillId="6" borderId="9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17" fillId="10" borderId="9" xfId="1" applyNumberFormat="1" applyFont="1" applyFill="1" applyBorder="1" applyAlignment="1">
      <alignment horizontal="center" vertical="center"/>
    </xf>
    <xf numFmtId="49" fontId="12" fillId="6" borderId="6" xfId="0" applyNumberFormat="1" applyFont="1" applyFill="1" applyBorder="1"/>
    <xf numFmtId="49" fontId="12" fillId="10" borderId="1" xfId="0" applyNumberFormat="1" applyFont="1" applyFill="1" applyBorder="1"/>
    <xf numFmtId="49" fontId="14" fillId="3" borderId="1" xfId="1" applyNumberFormat="1" applyFont="1" applyFill="1" applyBorder="1" applyAlignment="1">
      <alignment horizontal="center" vertical="center"/>
    </xf>
    <xf numFmtId="49" fontId="11" fillId="7" borderId="3" xfId="1" applyNumberFormat="1" applyFont="1" applyFill="1" applyBorder="1" applyAlignment="1">
      <alignment vertical="center"/>
    </xf>
    <xf numFmtId="49" fontId="17" fillId="0" borderId="3" xfId="1" applyNumberFormat="1" applyFont="1" applyFill="1" applyBorder="1" applyAlignment="1">
      <alignment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lef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3" xfId="0" applyNumberFormat="1" applyFont="1" applyFill="1" applyBorder="1" applyAlignment="1">
      <alignment vertical="center" wrapText="1"/>
    </xf>
    <xf numFmtId="164" fontId="5" fillId="7" borderId="3" xfId="1" applyNumberFormat="1" applyFont="1" applyFill="1" applyBorder="1" applyAlignment="1">
      <alignment vertical="center"/>
    </xf>
    <xf numFmtId="164" fontId="5" fillId="10" borderId="1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164" fontId="39" fillId="6" borderId="1" xfId="0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vertical="center"/>
    </xf>
    <xf numFmtId="2" fontId="5" fillId="10" borderId="1" xfId="0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164" fontId="14" fillId="0" borderId="1" xfId="1" applyNumberFormat="1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/>
    <xf numFmtId="2" fontId="5" fillId="0" borderId="3" xfId="0" applyNumberFormat="1" applyFont="1" applyFill="1" applyBorder="1" applyAlignment="1">
      <alignment horizontal="left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5" fillId="6" borderId="9" xfId="1" applyNumberFormat="1" applyFont="1" applyFill="1" applyBorder="1" applyAlignment="1">
      <alignment horizontal="left" vertical="center" wrapText="1"/>
    </xf>
    <xf numFmtId="2" fontId="5" fillId="6" borderId="6" xfId="0" applyNumberFormat="1" applyFont="1" applyFill="1" applyBorder="1" applyAlignment="1">
      <alignment horizontal="center" vertical="center" wrapText="1"/>
    </xf>
    <xf numFmtId="2" fontId="5" fillId="6" borderId="7" xfId="1" applyNumberFormat="1" applyFont="1" applyFill="1" applyBorder="1" applyAlignment="1">
      <alignment horizontal="center" vertical="center" wrapText="1"/>
    </xf>
    <xf numFmtId="2" fontId="5" fillId="12" borderId="7" xfId="1" applyNumberFormat="1" applyFont="1" applyFill="1" applyBorder="1" applyAlignment="1">
      <alignment horizontal="center" vertical="center" wrapText="1"/>
    </xf>
    <xf numFmtId="2" fontId="5" fillId="10" borderId="2" xfId="0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 vertical="center" wrapText="1"/>
    </xf>
    <xf numFmtId="2" fontId="5" fillId="7" borderId="3" xfId="1" applyNumberFormat="1" applyFont="1" applyFill="1" applyBorder="1" applyAlignment="1">
      <alignment vertical="center"/>
    </xf>
    <xf numFmtId="2" fontId="5" fillId="0" borderId="3" xfId="1" applyNumberFormat="1" applyFont="1" applyFill="1" applyBorder="1" applyAlignment="1">
      <alignment vertical="center"/>
    </xf>
    <xf numFmtId="2" fontId="5" fillId="0" borderId="6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left" vertical="center"/>
    </xf>
    <xf numFmtId="2" fontId="21" fillId="1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Border="1"/>
    <xf numFmtId="4" fontId="17" fillId="3" borderId="2" xfId="1" applyNumberFormat="1" applyFont="1" applyFill="1" applyBorder="1" applyAlignment="1">
      <alignment horizontal="left" vertical="center"/>
    </xf>
    <xf numFmtId="4" fontId="17" fillId="3" borderId="2" xfId="1" applyNumberFormat="1" applyFont="1" applyFill="1" applyBorder="1" applyAlignment="1">
      <alignment horizontal="center" vertical="center"/>
    </xf>
    <xf numFmtId="4" fontId="17" fillId="3" borderId="2" xfId="1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164" fontId="17" fillId="3" borderId="2" xfId="1" applyNumberFormat="1" applyFont="1" applyFill="1" applyBorder="1" applyAlignment="1">
      <alignment horizontal="center" vertical="center"/>
    </xf>
    <xf numFmtId="4" fontId="17" fillId="8" borderId="2" xfId="1" applyNumberFormat="1" applyFont="1" applyFill="1" applyBorder="1" applyAlignment="1">
      <alignment horizontal="center" vertical="center" wrapText="1"/>
    </xf>
    <xf numFmtId="4" fontId="5" fillId="7" borderId="2" xfId="1" applyNumberFormat="1" applyFont="1" applyFill="1" applyBorder="1" applyAlignment="1">
      <alignment horizontal="center" vertical="center" wrapText="1"/>
    </xf>
    <xf numFmtId="164" fontId="17" fillId="3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wrapText="1"/>
    </xf>
    <xf numFmtId="4" fontId="44" fillId="0" borderId="2" xfId="0" applyNumberFormat="1" applyFont="1" applyFill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center" wrapText="1"/>
    </xf>
    <xf numFmtId="164" fontId="7" fillId="7" borderId="3" xfId="0" applyNumberFormat="1" applyFont="1" applyFill="1" applyBorder="1" applyAlignment="1">
      <alignment horizontal="left" vertical="center" wrapText="1"/>
    </xf>
    <xf numFmtId="4" fontId="16" fillId="12" borderId="2" xfId="1" applyNumberFormat="1" applyFont="1" applyFill="1" applyBorder="1" applyAlignment="1">
      <alignment horizontal="center" vertical="center" wrapText="1"/>
    </xf>
    <xf numFmtId="4" fontId="10" fillId="4" borderId="3" xfId="1" applyNumberFormat="1" applyFont="1" applyFill="1" applyBorder="1" applyAlignment="1">
      <alignment horizontal="left" vertical="center" wrapText="1"/>
    </xf>
    <xf numFmtId="4" fontId="5" fillId="6" borderId="2" xfId="1" applyNumberFormat="1" applyFont="1" applyFill="1" applyBorder="1" applyAlignment="1">
      <alignment horizontal="left" vertical="center" wrapText="1" indent="2"/>
    </xf>
    <xf numFmtId="164" fontId="5" fillId="6" borderId="2" xfId="1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10" fillId="4" borderId="8" xfId="1" applyNumberFormat="1" applyFont="1" applyFill="1" applyBorder="1" applyAlignment="1">
      <alignment horizontal="left" vertical="center" wrapText="1"/>
    </xf>
    <xf numFmtId="4" fontId="10" fillId="7" borderId="8" xfId="1" applyNumberFormat="1" applyFont="1" applyFill="1" applyBorder="1" applyAlignment="1">
      <alignment horizontal="left" vertical="center" wrapText="1"/>
    </xf>
    <xf numFmtId="4" fontId="7" fillId="6" borderId="7" xfId="1" applyNumberFormat="1" applyFont="1" applyFill="1" applyBorder="1" applyAlignment="1">
      <alignment horizontal="center" vertical="center" wrapText="1"/>
    </xf>
    <xf numFmtId="164" fontId="10" fillId="7" borderId="3" xfId="1" applyNumberFormat="1" applyFont="1" applyFill="1" applyBorder="1" applyAlignment="1">
      <alignment vertical="center"/>
    </xf>
    <xf numFmtId="4" fontId="10" fillId="7" borderId="3" xfId="1" applyNumberFormat="1" applyFont="1" applyFill="1" applyBorder="1" applyAlignment="1">
      <alignment horizontal="left" vertical="center" wrapText="1"/>
    </xf>
    <xf numFmtId="164" fontId="21" fillId="10" borderId="1" xfId="0" applyNumberFormat="1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64" fontId="21" fillId="10" borderId="1" xfId="1" applyNumberFormat="1" applyFont="1" applyFill="1" applyBorder="1" applyAlignment="1">
      <alignment horizontal="center" vertical="center" wrapText="1"/>
    </xf>
    <xf numFmtId="49" fontId="21" fillId="7" borderId="1" xfId="1" applyNumberFormat="1" applyFont="1" applyFill="1" applyBorder="1" applyAlignment="1">
      <alignment horizontal="center" vertical="center"/>
    </xf>
    <xf numFmtId="166" fontId="14" fillId="10" borderId="1" xfId="1" applyNumberFormat="1" applyFont="1" applyFill="1" applyBorder="1" applyAlignment="1">
      <alignment horizontal="center" vertical="center" wrapText="1"/>
    </xf>
    <xf numFmtId="164" fontId="45" fillId="0" borderId="0" xfId="0" applyNumberFormat="1" applyFont="1" applyFill="1"/>
    <xf numFmtId="49" fontId="18" fillId="0" borderId="1" xfId="0" applyNumberFormat="1" applyFont="1" applyFill="1" applyBorder="1" applyAlignment="1">
      <alignment horizontal="center" vertical="center" wrapText="1"/>
    </xf>
    <xf numFmtId="164" fontId="44" fillId="0" borderId="1" xfId="0" applyNumberFormat="1" applyFont="1" applyFill="1" applyBorder="1" applyAlignment="1">
      <alignment horizontal="left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wrapText="1"/>
    </xf>
    <xf numFmtId="164" fontId="45" fillId="6" borderId="0" xfId="0" applyNumberFormat="1" applyFont="1" applyFill="1" applyBorder="1"/>
    <xf numFmtId="164" fontId="45" fillId="0" borderId="0" xfId="0" applyNumberFormat="1" applyFont="1" applyFill="1" applyBorder="1"/>
    <xf numFmtId="4" fontId="26" fillId="0" borderId="2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164" fontId="21" fillId="3" borderId="2" xfId="1" applyNumberFormat="1" applyFont="1" applyFill="1" applyBorder="1" applyAlignment="1">
      <alignment horizontal="center" vertical="center" wrapText="1"/>
    </xf>
    <xf numFmtId="2" fontId="16" fillId="10" borderId="1" xfId="1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166" fontId="21" fillId="1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4" fontId="21" fillId="10" borderId="1" xfId="1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2" fontId="21" fillId="10" borderId="9" xfId="1" applyNumberFormat="1" applyFont="1" applyFill="1" applyBorder="1" applyAlignment="1">
      <alignment horizontal="center" vertical="center" wrapText="1"/>
    </xf>
    <xf numFmtId="49" fontId="13" fillId="10" borderId="9" xfId="1" applyNumberFormat="1" applyFont="1" applyFill="1" applyBorder="1" applyAlignment="1">
      <alignment horizontal="center" vertical="center" wrapText="1"/>
    </xf>
    <xf numFmtId="166" fontId="21" fillId="10" borderId="9" xfId="1" applyNumberFormat="1" applyFont="1" applyFill="1" applyBorder="1" applyAlignment="1">
      <alignment horizontal="center" vertical="center" wrapText="1"/>
    </xf>
    <xf numFmtId="2" fontId="21" fillId="10" borderId="9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wrapText="1"/>
    </xf>
    <xf numFmtId="164" fontId="5" fillId="0" borderId="4" xfId="0" applyNumberFormat="1" applyFont="1" applyFill="1" applyBorder="1" applyAlignment="1">
      <alignment wrapText="1"/>
    </xf>
    <xf numFmtId="49" fontId="21" fillId="7" borderId="6" xfId="1" applyNumberFormat="1" applyFont="1" applyFill="1" applyBorder="1" applyAlignment="1">
      <alignment horizontal="center" vertical="center" wrapText="1"/>
    </xf>
    <xf numFmtId="164" fontId="21" fillId="10" borderId="6" xfId="0" applyNumberFormat="1" applyFont="1" applyFill="1" applyBorder="1" applyAlignment="1">
      <alignment horizontal="center" vertical="center" wrapText="1"/>
    </xf>
    <xf numFmtId="2" fontId="21" fillId="10" borderId="6" xfId="0" applyNumberFormat="1" applyFont="1" applyFill="1" applyBorder="1" applyAlignment="1">
      <alignment horizontal="center" vertical="center" wrapText="1"/>
    </xf>
    <xf numFmtId="49" fontId="5" fillId="0" borderId="9" xfId="1" applyNumberFormat="1" applyFont="1" applyFill="1" applyBorder="1" applyAlignment="1">
      <alignment horizontal="center" vertical="center" wrapText="1"/>
    </xf>
    <xf numFmtId="4" fontId="42" fillId="0" borderId="1" xfId="1" applyNumberFormat="1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/>
    </xf>
    <xf numFmtId="164" fontId="28" fillId="0" borderId="1" xfId="1" applyNumberFormat="1" applyFont="1" applyFill="1" applyBorder="1" applyAlignment="1">
      <alignment horizontal="center" vertical="center" wrapText="1"/>
    </xf>
    <xf numFmtId="2" fontId="16" fillId="12" borderId="1" xfId="1" applyNumberFormat="1" applyFont="1" applyFill="1" applyBorder="1" applyAlignment="1">
      <alignment horizontal="center" vertical="center" wrapText="1"/>
    </xf>
    <xf numFmtId="164" fontId="16" fillId="12" borderId="1" xfId="1" applyNumberFormat="1" applyFont="1" applyFill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center" wrapText="1"/>
    </xf>
    <xf numFmtId="4" fontId="21" fillId="12" borderId="1" xfId="1" applyNumberFormat="1" applyFont="1" applyFill="1" applyBorder="1" applyAlignment="1">
      <alignment horizontal="center" vertical="center" wrapText="1"/>
    </xf>
    <xf numFmtId="164" fontId="21" fillId="12" borderId="1" xfId="1" applyNumberFormat="1" applyFont="1" applyFill="1" applyBorder="1" applyAlignment="1">
      <alignment horizontal="center" vertical="center" wrapText="1"/>
    </xf>
    <xf numFmtId="2" fontId="21" fillId="12" borderId="1" xfId="1" applyNumberFormat="1" applyFont="1" applyFill="1" applyBorder="1" applyAlignment="1">
      <alignment horizontal="center" vertical="center" wrapText="1"/>
    </xf>
    <xf numFmtId="4" fontId="21" fillId="12" borderId="7" xfId="1" applyNumberFormat="1" applyFont="1" applyFill="1" applyBorder="1" applyAlignment="1">
      <alignment horizontal="center" vertical="center" wrapText="1"/>
    </xf>
    <xf numFmtId="164" fontId="16" fillId="12" borderId="9" xfId="1" applyNumberFormat="1" applyFont="1" applyFill="1" applyBorder="1" applyAlignment="1">
      <alignment horizontal="center" vertical="center" wrapText="1"/>
    </xf>
    <xf numFmtId="4" fontId="21" fillId="12" borderId="9" xfId="1" applyNumberFormat="1" applyFont="1" applyFill="1" applyBorder="1" applyAlignment="1">
      <alignment horizontal="center" vertical="center" wrapText="1"/>
    </xf>
    <xf numFmtId="4" fontId="11" fillId="4" borderId="4" xfId="1" applyNumberFormat="1" applyFont="1" applyFill="1" applyBorder="1" applyAlignment="1">
      <alignment horizontal="left" vertical="center" wrapText="1"/>
    </xf>
    <xf numFmtId="166" fontId="21" fillId="10" borderId="1" xfId="1" applyNumberFormat="1" applyFont="1" applyFill="1" applyBorder="1" applyAlignment="1">
      <alignment horizontal="center" vertical="center"/>
    </xf>
    <xf numFmtId="164" fontId="46" fillId="10" borderId="1" xfId="0" applyNumberFormat="1" applyFont="1" applyFill="1" applyBorder="1" applyAlignment="1">
      <alignment horizontal="center" vertical="center"/>
    </xf>
    <xf numFmtId="164" fontId="21" fillId="10" borderId="1" xfId="1" applyNumberFormat="1" applyFont="1" applyFill="1" applyBorder="1" applyAlignment="1">
      <alignment horizontal="center" vertical="center"/>
    </xf>
    <xf numFmtId="2" fontId="21" fillId="10" borderId="1" xfId="1" applyNumberFormat="1" applyFont="1" applyFill="1" applyBorder="1" applyAlignment="1">
      <alignment horizontal="center" vertical="center" wrapText="1"/>
    </xf>
    <xf numFmtId="4" fontId="28" fillId="0" borderId="3" xfId="0" applyNumberFormat="1" applyFont="1" applyFill="1" applyBorder="1" applyAlignment="1">
      <alignment horizontal="center" vertical="center" wrapText="1"/>
    </xf>
    <xf numFmtId="49" fontId="11" fillId="0" borderId="9" xfId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21" fillId="10" borderId="9" xfId="0" applyNumberFormat="1" applyFont="1" applyFill="1" applyBorder="1" applyAlignment="1">
      <alignment horizontal="center" vertical="center" wrapText="1"/>
    </xf>
    <xf numFmtId="164" fontId="28" fillId="6" borderId="1" xfId="1" applyNumberFormat="1" applyFont="1" applyFill="1" applyBorder="1" applyAlignment="1">
      <alignment horizontal="center" vertical="center"/>
    </xf>
    <xf numFmtId="4" fontId="6" fillId="10" borderId="1" xfId="1" applyNumberFormat="1" applyFont="1" applyFill="1" applyBorder="1" applyAlignment="1">
      <alignment horizontal="center" vertical="center" wrapText="1"/>
    </xf>
    <xf numFmtId="4" fontId="28" fillId="0" borderId="1" xfId="1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2" fontId="21" fillId="10" borderId="1" xfId="1" applyNumberFormat="1" applyFont="1" applyFill="1" applyBorder="1" applyAlignment="1">
      <alignment horizontal="center" vertical="center"/>
    </xf>
    <xf numFmtId="164" fontId="21" fillId="6" borderId="1" xfId="1" applyNumberFormat="1" applyFont="1" applyFill="1" applyBorder="1" applyAlignment="1">
      <alignment horizontal="center" vertical="center"/>
    </xf>
    <xf numFmtId="2" fontId="28" fillId="6" borderId="1" xfId="1" applyNumberFormat="1" applyFont="1" applyFill="1" applyBorder="1" applyAlignment="1">
      <alignment horizontal="center" vertical="center"/>
    </xf>
    <xf numFmtId="164" fontId="21" fillId="10" borderId="2" xfId="1" applyNumberFormat="1" applyFont="1" applyFill="1" applyBorder="1" applyAlignment="1">
      <alignment horizontal="center" vertical="center"/>
    </xf>
    <xf numFmtId="49" fontId="16" fillId="6" borderId="9" xfId="1" applyNumberFormat="1" applyFont="1" applyFill="1" applyBorder="1" applyAlignment="1">
      <alignment horizontal="center" vertical="center" wrapText="1"/>
    </xf>
    <xf numFmtId="4" fontId="42" fillId="6" borderId="1" xfId="0" applyNumberFormat="1" applyFont="1" applyFill="1" applyBorder="1" applyAlignment="1">
      <alignment horizontal="center" vertical="center" wrapText="1"/>
    </xf>
    <xf numFmtId="166" fontId="21" fillId="3" borderId="1" xfId="0" applyNumberFormat="1" applyFont="1" applyFill="1" applyBorder="1" applyAlignment="1">
      <alignment horizontal="center" vertical="center" wrapText="1"/>
    </xf>
    <xf numFmtId="166" fontId="21" fillId="1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2" fontId="44" fillId="6" borderId="9" xfId="0" applyNumberFormat="1" applyFont="1" applyFill="1" applyBorder="1" applyAlignment="1">
      <alignment horizontal="left" vertical="center" wrapText="1"/>
    </xf>
    <xf numFmtId="49" fontId="10" fillId="6" borderId="1" xfId="1" applyNumberFormat="1" applyFont="1" applyFill="1" applyBorder="1" applyAlignment="1">
      <alignment horizontal="center" vertical="center" wrapText="1"/>
    </xf>
    <xf numFmtId="166" fontId="23" fillId="6" borderId="1" xfId="1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64" fontId="26" fillId="6" borderId="6" xfId="1" applyNumberFormat="1" applyFont="1" applyFill="1" applyBorder="1" applyAlignment="1">
      <alignment horizontal="center" vertical="center" wrapText="1"/>
    </xf>
    <xf numFmtId="164" fontId="22" fillId="6" borderId="0" xfId="0" applyNumberFormat="1" applyFont="1" applyFill="1"/>
    <xf numFmtId="164" fontId="22" fillId="0" borderId="1" xfId="0" applyNumberFormat="1" applyFont="1" applyFill="1" applyBorder="1"/>
    <xf numFmtId="164" fontId="18" fillId="0" borderId="1" xfId="0" applyNumberFormat="1" applyFont="1" applyFill="1" applyBorder="1" applyAlignment="1">
      <alignment horizontal="left" vertical="center" wrapText="1"/>
    </xf>
    <xf numFmtId="49" fontId="44" fillId="0" borderId="1" xfId="1" applyNumberFormat="1" applyFont="1" applyFill="1" applyBorder="1" applyAlignment="1">
      <alignment horizontal="center" vertical="center" wrapText="1"/>
    </xf>
    <xf numFmtId="166" fontId="26" fillId="0" borderId="1" xfId="1" applyNumberFormat="1" applyFont="1" applyFill="1" applyBorder="1" applyAlignment="1">
      <alignment horizontal="center" vertical="center"/>
    </xf>
    <xf numFmtId="4" fontId="26" fillId="0" borderId="2" xfId="1" applyNumberFormat="1" applyFont="1" applyFill="1" applyBorder="1" applyAlignment="1">
      <alignment horizontal="center" vertical="center" wrapText="1"/>
    </xf>
    <xf numFmtId="164" fontId="22" fillId="0" borderId="4" xfId="0" applyNumberFormat="1" applyFont="1" applyFill="1" applyBorder="1"/>
    <xf numFmtId="164" fontId="47" fillId="0" borderId="1" xfId="0" applyNumberFormat="1" applyFont="1" applyFill="1" applyBorder="1" applyAlignment="1">
      <alignment wrapText="1"/>
    </xf>
    <xf numFmtId="164" fontId="34" fillId="0" borderId="0" xfId="0" applyNumberFormat="1" applyFont="1" applyFill="1" applyBorder="1"/>
    <xf numFmtId="4" fontId="22" fillId="0" borderId="0" xfId="0" applyNumberFormat="1" applyFont="1" applyFill="1"/>
    <xf numFmtId="166" fontId="26" fillId="0" borderId="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Fill="1"/>
    <xf numFmtId="164" fontId="26" fillId="6" borderId="1" xfId="1" applyNumberFormat="1" applyFont="1" applyFill="1" applyBorder="1" applyAlignment="1">
      <alignment horizontal="center" vertical="center"/>
    </xf>
    <xf numFmtId="164" fontId="44" fillId="0" borderId="6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horizontal="center" vertical="center" wrapText="1"/>
    </xf>
    <xf numFmtId="49" fontId="44" fillId="6" borderId="1" xfId="1" applyNumberFormat="1" applyFont="1" applyFill="1" applyBorder="1" applyAlignment="1">
      <alignment horizontal="left" vertical="center"/>
    </xf>
    <xf numFmtId="2" fontId="26" fillId="6" borderId="1" xfId="1" applyNumberFormat="1" applyFont="1" applyFill="1" applyBorder="1" applyAlignment="1">
      <alignment horizontal="center" vertical="center"/>
    </xf>
    <xf numFmtId="164" fontId="26" fillId="6" borderId="2" xfId="1" applyNumberFormat="1" applyFont="1" applyFill="1" applyBorder="1" applyAlignment="1">
      <alignment horizontal="center" vertical="center"/>
    </xf>
    <xf numFmtId="164" fontId="23" fillId="0" borderId="1" xfId="0" applyNumberFormat="1" applyFont="1" applyFill="1" applyBorder="1" applyAlignment="1">
      <alignment horizontal="left" vertical="center" wrapText="1"/>
    </xf>
    <xf numFmtId="4" fontId="26" fillId="6" borderId="2" xfId="0" applyNumberFormat="1" applyFont="1" applyFill="1" applyBorder="1" applyAlignment="1">
      <alignment horizontal="center" vertical="center" wrapText="1"/>
    </xf>
    <xf numFmtId="164" fontId="5" fillId="10" borderId="7" xfId="1" applyNumberFormat="1" applyFont="1" applyFill="1" applyBorder="1" applyAlignment="1">
      <alignment horizontal="left" vertical="center"/>
    </xf>
    <xf numFmtId="0" fontId="19" fillId="6" borderId="1" xfId="0" applyNumberFormat="1" applyFont="1" applyFill="1" applyBorder="1" applyAlignment="1">
      <alignment wrapText="1"/>
    </xf>
    <xf numFmtId="4" fontId="26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" fontId="21" fillId="12" borderId="2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vertical="top" wrapText="1"/>
    </xf>
    <xf numFmtId="164" fontId="21" fillId="10" borderId="1" xfId="1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" fontId="5" fillId="6" borderId="2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3" fontId="21" fillId="10" borderId="9" xfId="0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left" vertical="center"/>
    </xf>
    <xf numFmtId="43" fontId="17" fillId="0" borderId="1" xfId="0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21" fillId="10" borderId="9" xfId="0" applyNumberFormat="1" applyFont="1" applyFill="1" applyBorder="1" applyAlignment="1">
      <alignment horizontal="center" vertical="center" wrapText="1"/>
    </xf>
    <xf numFmtId="2" fontId="21" fillId="10" borderId="7" xfId="0" applyNumberFormat="1" applyFont="1" applyFill="1" applyBorder="1" applyAlignment="1">
      <alignment horizontal="center" vertical="center" wrapText="1"/>
    </xf>
    <xf numFmtId="164" fontId="0" fillId="4" borderId="0" xfId="0" applyNumberFormat="1" applyFill="1" applyBorder="1"/>
    <xf numFmtId="49" fontId="48" fillId="13" borderId="13" xfId="0" applyNumberFormat="1" applyFont="1" applyFill="1" applyBorder="1" applyAlignment="1">
      <alignment horizontal="center" vertical="center" wrapText="1"/>
    </xf>
    <xf numFmtId="164" fontId="48" fillId="13" borderId="13" xfId="0" applyNumberFormat="1" applyFont="1" applyFill="1" applyBorder="1" applyAlignment="1">
      <alignment horizontal="left" vertical="center" wrapText="1"/>
    </xf>
    <xf numFmtId="164" fontId="48" fillId="13" borderId="13" xfId="0" applyNumberFormat="1" applyFont="1" applyFill="1" applyBorder="1" applyAlignment="1">
      <alignment horizontal="center" vertical="center" wrapText="1"/>
    </xf>
    <xf numFmtId="2" fontId="49" fillId="13" borderId="15" xfId="0" applyNumberFormat="1" applyFont="1" applyFill="1" applyBorder="1" applyAlignment="1">
      <alignment horizontal="center" vertical="center" wrapText="1"/>
    </xf>
    <xf numFmtId="4" fontId="50" fillId="13" borderId="13" xfId="0" applyNumberFormat="1" applyFont="1" applyFill="1" applyBorder="1" applyAlignment="1">
      <alignment horizontal="center" vertical="center" wrapText="1"/>
    </xf>
    <xf numFmtId="4" fontId="50" fillId="13" borderId="15" xfId="0" applyNumberFormat="1" applyFont="1" applyFill="1" applyBorder="1" applyAlignment="1">
      <alignment horizontal="center" vertical="center" wrapText="1"/>
    </xf>
    <xf numFmtId="164" fontId="17" fillId="13" borderId="1" xfId="0" applyNumberFormat="1" applyFont="1" applyFill="1" applyBorder="1" applyAlignment="1">
      <alignment horizontal="left" vertical="center" wrapText="1"/>
    </xf>
    <xf numFmtId="49" fontId="16" fillId="13" borderId="1" xfId="0" applyNumberFormat="1" applyFont="1" applyFill="1" applyBorder="1" applyAlignment="1">
      <alignment horizontal="center" vertical="center" wrapText="1"/>
    </xf>
    <xf numFmtId="166" fontId="16" fillId="13" borderId="1" xfId="1" applyNumberFormat="1" applyFont="1" applyFill="1" applyBorder="1" applyAlignment="1">
      <alignment horizontal="center" vertical="center"/>
    </xf>
    <xf numFmtId="164" fontId="48" fillId="13" borderId="1" xfId="0" applyNumberFormat="1" applyFont="1" applyFill="1" applyBorder="1" applyAlignment="1">
      <alignment horizontal="center" vertical="center" wrapText="1"/>
    </xf>
    <xf numFmtId="2" fontId="49" fillId="13" borderId="1" xfId="0" applyNumberFormat="1" applyFont="1" applyFill="1" applyBorder="1" applyAlignment="1">
      <alignment horizontal="center" vertical="center" wrapText="1"/>
    </xf>
    <xf numFmtId="164" fontId="48" fillId="13" borderId="1" xfId="0" applyNumberFormat="1" applyFont="1" applyFill="1" applyBorder="1" applyAlignment="1">
      <alignment horizontal="left" vertical="center" wrapText="1"/>
    </xf>
    <xf numFmtId="4" fontId="50" fillId="13" borderId="1" xfId="0" applyNumberFormat="1" applyFont="1" applyFill="1" applyBorder="1" applyAlignment="1">
      <alignment horizontal="center" vertical="center" wrapText="1"/>
    </xf>
    <xf numFmtId="49" fontId="48" fillId="13" borderId="1" xfId="0" applyNumberFormat="1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vertical="top" wrapText="1"/>
    </xf>
    <xf numFmtId="2" fontId="26" fillId="0" borderId="1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center" vertical="center" wrapText="1"/>
    </xf>
    <xf numFmtId="4" fontId="26" fillId="6" borderId="1" xfId="1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wrapText="1"/>
    </xf>
    <xf numFmtId="0" fontId="52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left" vertical="top" wrapText="1"/>
    </xf>
    <xf numFmtId="4" fontId="7" fillId="0" borderId="1" xfId="3" applyNumberFormat="1" applyFont="1" applyFill="1" applyBorder="1" applyAlignment="1" applyProtection="1">
      <alignment horizontal="center" vertical="center" wrapText="1"/>
    </xf>
    <xf numFmtId="0" fontId="52" fillId="0" borderId="1" xfId="0" applyNumberFormat="1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164" fontId="5" fillId="0" borderId="2" xfId="1" applyNumberFormat="1" applyFont="1" applyFill="1" applyBorder="1" applyAlignment="1">
      <alignment horizontal="left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/>
    <xf numFmtId="49" fontId="12" fillId="0" borderId="0" xfId="0" applyNumberFormat="1" applyFont="1" applyFill="1"/>
    <xf numFmtId="167" fontId="5" fillId="0" borderId="1" xfId="3" applyNumberFormat="1" applyFont="1" applyFill="1" applyBorder="1" applyAlignment="1" applyProtection="1">
      <alignment vertical="center" wrapText="1"/>
    </xf>
    <xf numFmtId="49" fontId="5" fillId="0" borderId="1" xfId="3" applyNumberFormat="1" applyFont="1" applyFill="1" applyBorder="1" applyAlignment="1" applyProtection="1">
      <alignment vertical="center" wrapText="1"/>
    </xf>
    <xf numFmtId="0" fontId="52" fillId="0" borderId="1" xfId="0" applyFont="1" applyFill="1" applyBorder="1" applyAlignment="1">
      <alignment horizontal="left" vertical="top" wrapText="1"/>
    </xf>
    <xf numFmtId="167" fontId="5" fillId="0" borderId="6" xfId="3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167" fontId="5" fillId="0" borderId="17" xfId="3" applyNumberFormat="1" applyFont="1" applyFill="1" applyBorder="1" applyAlignment="1" applyProtection="1">
      <alignment vertical="center" wrapText="1"/>
    </xf>
    <xf numFmtId="4" fontId="7" fillId="0" borderId="9" xfId="3" applyNumberFormat="1" applyFont="1" applyFill="1" applyBorder="1" applyAlignment="1" applyProtection="1">
      <alignment horizontal="right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49" fontId="5" fillId="0" borderId="1" xfId="1" applyNumberFormat="1" applyFont="1" applyFill="1" applyBorder="1" applyAlignment="1">
      <alignment horizontal="left" vertical="center" wrapText="1" readingOrder="1"/>
    </xf>
    <xf numFmtId="164" fontId="14" fillId="0" borderId="1" xfId="1" applyNumberFormat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4" fontId="17" fillId="0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166" fontId="6" fillId="0" borderId="3" xfId="0" applyNumberFormat="1" applyFont="1" applyFill="1" applyBorder="1" applyAlignment="1">
      <alignment vertical="center" wrapText="1"/>
    </xf>
    <xf numFmtId="164" fontId="5" fillId="0" borderId="6" xfId="1" applyNumberFormat="1" applyFont="1" applyFill="1" applyBorder="1" applyAlignment="1">
      <alignment vertical="center" wrapText="1"/>
    </xf>
    <xf numFmtId="165" fontId="5" fillId="0" borderId="6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67" fontId="5" fillId="0" borderId="16" xfId="3" applyNumberFormat="1" applyFont="1" applyFill="1" applyBorder="1" applyAlignment="1" applyProtection="1">
      <alignment vertical="center" wrapText="1"/>
    </xf>
    <xf numFmtId="4" fontId="7" fillId="0" borderId="16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Fill="1" applyBorder="1" applyAlignment="1" applyProtection="1">
      <alignment horizontal="right" vertical="center" wrapText="1"/>
    </xf>
    <xf numFmtId="2" fontId="5" fillId="0" borderId="1" xfId="0" applyNumberFormat="1" applyFont="1" applyBorder="1" applyAlignment="1">
      <alignment horizontal="center" vertical="center"/>
    </xf>
    <xf numFmtId="4" fontId="53" fillId="6" borderId="1" xfId="0" applyNumberFormat="1" applyFont="1" applyFill="1" applyBorder="1" applyAlignment="1" applyProtection="1">
      <alignment horizontal="center" vertical="center" wrapText="1"/>
    </xf>
    <xf numFmtId="4" fontId="53" fillId="6" borderId="18" xfId="0" applyNumberFormat="1" applyFont="1" applyFill="1" applyBorder="1" applyAlignment="1" applyProtection="1">
      <alignment horizontal="center" vertical="center" wrapText="1"/>
    </xf>
    <xf numFmtId="0" fontId="52" fillId="0" borderId="0" xfId="0" applyFont="1" applyAlignment="1">
      <alignment wrapText="1"/>
    </xf>
    <xf numFmtId="0" fontId="52" fillId="0" borderId="19" xfId="0" applyFont="1" applyBorder="1" applyAlignment="1">
      <alignment vertical="center" wrapText="1"/>
    </xf>
    <xf numFmtId="0" fontId="54" fillId="0" borderId="2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" fontId="53" fillId="6" borderId="14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/>
    </xf>
    <xf numFmtId="4" fontId="5" fillId="6" borderId="14" xfId="0" applyNumberFormat="1" applyFont="1" applyFill="1" applyBorder="1" applyAlignment="1" applyProtection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5" fillId="6" borderId="1" xfId="1" applyNumberFormat="1" applyFont="1" applyFill="1" applyBorder="1" applyAlignment="1">
      <alignment horizontal="center" vertical="center" wrapText="1"/>
    </xf>
    <xf numFmtId="0" fontId="5" fillId="6" borderId="6" xfId="1" applyNumberFormat="1" applyFont="1" applyFill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5" fillId="6" borderId="9" xfId="1" applyNumberFormat="1" applyFont="1" applyFill="1" applyBorder="1" applyAlignment="1">
      <alignment horizontal="center" vertical="center" wrapText="1"/>
    </xf>
    <xf numFmtId="4" fontId="26" fillId="6" borderId="6" xfId="1" applyNumberFormat="1" applyFont="1" applyFill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  <xf numFmtId="4" fontId="21" fillId="10" borderId="6" xfId="1" applyNumberFormat="1" applyFont="1" applyFill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/>
    </xf>
    <xf numFmtId="164" fontId="19" fillId="6" borderId="6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4" fontId="21" fillId="1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6" fillId="10" borderId="1" xfId="0" applyNumberFormat="1" applyFont="1" applyFill="1" applyBorder="1" applyAlignment="1">
      <alignment horizontal="center" vertical="center" wrapText="1"/>
    </xf>
    <xf numFmtId="169" fontId="16" fillId="0" borderId="1" xfId="0" applyNumberFormat="1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2" fillId="0" borderId="20" xfId="0" applyFont="1" applyBorder="1" applyAlignment="1">
      <alignment horizontal="center" vertical="center" wrapText="1"/>
    </xf>
    <xf numFmtId="49" fontId="14" fillId="7" borderId="9" xfId="1" applyNumberFormat="1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center" vertical="center"/>
    </xf>
    <xf numFmtId="49" fontId="16" fillId="0" borderId="1" xfId="1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 wrapText="1"/>
    </xf>
    <xf numFmtId="166" fontId="16" fillId="6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6" fillId="10" borderId="1" xfId="1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 wrapText="1"/>
    </xf>
    <xf numFmtId="164" fontId="17" fillId="10" borderId="1" xfId="1" applyNumberFormat="1" applyFont="1" applyFill="1" applyBorder="1" applyAlignment="1">
      <alignment horizontal="left" vertical="center"/>
    </xf>
    <xf numFmtId="4" fontId="21" fillId="10" borderId="1" xfId="1" applyNumberFormat="1" applyFont="1" applyFill="1" applyBorder="1" applyAlignment="1">
      <alignment horizontal="center" vertical="center"/>
    </xf>
    <xf numFmtId="4" fontId="21" fillId="10" borderId="2" xfId="1" applyNumberFormat="1" applyFont="1" applyFill="1" applyBorder="1" applyAlignment="1">
      <alignment horizontal="center" vertical="center"/>
    </xf>
    <xf numFmtId="164" fontId="17" fillId="7" borderId="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10" borderId="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45" fillId="14" borderId="0" xfId="0" applyNumberFormat="1" applyFont="1" applyFill="1"/>
    <xf numFmtId="164" fontId="45" fillId="14" borderId="0" xfId="0" applyNumberFormat="1" applyFont="1" applyFill="1" applyBorder="1"/>
    <xf numFmtId="4" fontId="57" fillId="0" borderId="14" xfId="0" applyNumberFormat="1" applyFont="1" applyBorder="1" applyAlignment="1" applyProtection="1">
      <alignment horizontal="center" vertical="center" wrapText="1"/>
    </xf>
    <xf numFmtId="49" fontId="18" fillId="0" borderId="9" xfId="1" applyNumberFormat="1" applyFont="1" applyFill="1" applyBorder="1" applyAlignment="1">
      <alignment horizontal="center" vertical="center" wrapText="1"/>
    </xf>
    <xf numFmtId="164" fontId="18" fillId="0" borderId="9" xfId="1" applyNumberFormat="1" applyFont="1" applyFill="1" applyBorder="1" applyAlignment="1">
      <alignment horizontal="left" vertical="center" wrapText="1"/>
    </xf>
    <xf numFmtId="49" fontId="18" fillId="0" borderId="9" xfId="1" applyNumberFormat="1" applyFont="1" applyFill="1" applyBorder="1" applyAlignment="1">
      <alignment horizontal="left" vertical="center" wrapText="1"/>
    </xf>
    <xf numFmtId="166" fontId="23" fillId="0" borderId="9" xfId="1" applyNumberFormat="1" applyFont="1" applyFill="1" applyBorder="1" applyAlignment="1">
      <alignment horizontal="center" vertical="center" wrapText="1"/>
    </xf>
    <xf numFmtId="164" fontId="26" fillId="0" borderId="9" xfId="1" applyNumberFormat="1" applyFont="1" applyFill="1" applyBorder="1" applyAlignment="1">
      <alignment horizontal="center" vertical="center" wrapText="1"/>
    </xf>
    <xf numFmtId="2" fontId="26" fillId="0" borderId="7" xfId="1" applyNumberFormat="1" applyFont="1" applyFill="1" applyBorder="1" applyAlignment="1">
      <alignment horizontal="center" vertical="center" wrapText="1"/>
    </xf>
    <xf numFmtId="4" fontId="26" fillId="0" borderId="9" xfId="1" applyNumberFormat="1" applyFont="1" applyFill="1" applyBorder="1" applyAlignment="1">
      <alignment horizontal="center" vertical="center" wrapText="1"/>
    </xf>
    <xf numFmtId="164" fontId="26" fillId="0" borderId="7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7" fillId="6" borderId="1" xfId="1" applyNumberFormat="1" applyFont="1" applyFill="1" applyBorder="1" applyAlignment="1">
      <alignment horizontal="center" vertical="center" wrapText="1"/>
    </xf>
    <xf numFmtId="49" fontId="10" fillId="6" borderId="9" xfId="1" applyNumberFormat="1" applyFont="1" applyFill="1" applyBorder="1" applyAlignment="1">
      <alignment horizontal="center" vertical="center" wrapText="1"/>
    </xf>
    <xf numFmtId="164" fontId="44" fillId="6" borderId="9" xfId="0" applyNumberFormat="1" applyFont="1" applyFill="1" applyBorder="1" applyAlignment="1">
      <alignment horizontal="left" vertical="center" wrapText="1"/>
    </xf>
    <xf numFmtId="4" fontId="26" fillId="6" borderId="1" xfId="0" applyNumberFormat="1" applyFont="1" applyFill="1" applyBorder="1" applyAlignment="1">
      <alignment horizontal="center" vertical="center" wrapText="1"/>
    </xf>
    <xf numFmtId="2" fontId="26" fillId="6" borderId="1" xfId="0" applyNumberFormat="1" applyFont="1" applyFill="1" applyBorder="1" applyAlignment="1">
      <alignment horizontal="center" vertical="center" wrapText="1"/>
    </xf>
    <xf numFmtId="4" fontId="26" fillId="6" borderId="8" xfId="1" applyNumberFormat="1" applyFont="1" applyFill="1" applyBorder="1" applyAlignment="1">
      <alignment horizontal="center" vertical="center" wrapText="1"/>
    </xf>
    <xf numFmtId="164" fontId="22" fillId="6" borderId="1" xfId="0" applyNumberFormat="1" applyFont="1" applyFill="1" applyBorder="1"/>
    <xf numFmtId="4" fontId="57" fillId="6" borderId="14" xfId="0" applyNumberFormat="1" applyFont="1" applyFill="1" applyBorder="1" applyAlignment="1" applyProtection="1">
      <alignment horizontal="center" vertical="center" wrapText="1"/>
    </xf>
    <xf numFmtId="164" fontId="14" fillId="10" borderId="1" xfId="0" applyNumberFormat="1" applyFont="1" applyFill="1" applyBorder="1" applyAlignment="1">
      <alignment horizontal="center" vertical="center" wrapText="1"/>
    </xf>
    <xf numFmtId="2" fontId="14" fillId="10" borderId="1" xfId="0" applyNumberFormat="1" applyFont="1" applyFill="1" applyBorder="1" applyAlignment="1">
      <alignment horizontal="center" vertic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49" fontId="21" fillId="4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18" fillId="6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left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49" fontId="21" fillId="7" borderId="9" xfId="1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/>
    </xf>
    <xf numFmtId="0" fontId="52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/>
    </xf>
    <xf numFmtId="2" fontId="16" fillId="13" borderId="1" xfId="1" applyNumberFormat="1" applyFont="1" applyFill="1" applyBorder="1" applyAlignment="1">
      <alignment horizontal="center" vertical="center"/>
    </xf>
    <xf numFmtId="168" fontId="5" fillId="6" borderId="1" xfId="1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5" fontId="5" fillId="6" borderId="9" xfId="1" applyNumberFormat="1" applyFont="1" applyFill="1" applyBorder="1" applyAlignment="1">
      <alignment horizontal="center" vertical="center" wrapText="1"/>
    </xf>
    <xf numFmtId="4" fontId="16" fillId="10" borderId="2" xfId="1" applyNumberFormat="1" applyFont="1" applyFill="1" applyBorder="1" applyAlignment="1">
      <alignment horizontal="center" vertical="center" wrapText="1"/>
    </xf>
    <xf numFmtId="4" fontId="7" fillId="0" borderId="9" xfId="3" applyNumberFormat="1" applyFont="1" applyFill="1" applyBorder="1" applyAlignment="1" applyProtection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/>
    </xf>
    <xf numFmtId="4" fontId="57" fillId="0" borderId="14" xfId="0" applyNumberFormat="1" applyFont="1" applyFill="1" applyBorder="1" applyAlignment="1" applyProtection="1">
      <alignment horizontal="center" vertical="center" wrapText="1"/>
    </xf>
    <xf numFmtId="4" fontId="57" fillId="0" borderId="1" xfId="0" applyNumberFormat="1" applyFont="1" applyBorder="1" applyAlignment="1" applyProtection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4" fontId="0" fillId="0" borderId="1" xfId="0" applyNumberFormat="1" applyFont="1" applyBorder="1"/>
    <xf numFmtId="4" fontId="57" fillId="6" borderId="1" xfId="0" applyNumberFormat="1" applyFont="1" applyFill="1" applyBorder="1" applyAlignment="1" applyProtection="1">
      <alignment horizontal="center" vertical="center" wrapText="1"/>
    </xf>
    <xf numFmtId="4" fontId="48" fillId="13" borderId="13" xfId="0" applyNumberFormat="1" applyFont="1" applyFill="1" applyBorder="1" applyAlignment="1">
      <alignment horizontal="center" vertical="center" wrapText="1"/>
    </xf>
    <xf numFmtId="166" fontId="52" fillId="6" borderId="6" xfId="0" applyNumberFormat="1" applyFont="1" applyFill="1" applyBorder="1" applyAlignment="1">
      <alignment horizontal="center"/>
    </xf>
    <xf numFmtId="2" fontId="56" fillId="0" borderId="20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164" fontId="6" fillId="6" borderId="10" xfId="1" applyNumberFormat="1" applyFont="1" applyFill="1" applyBorder="1" applyAlignment="1">
      <alignment horizontal="left" vertical="center" wrapText="1"/>
    </xf>
    <xf numFmtId="164" fontId="6" fillId="6" borderId="5" xfId="1" applyNumberFormat="1" applyFont="1" applyFill="1" applyBorder="1" applyAlignment="1">
      <alignment horizontal="left" vertical="center" wrapText="1"/>
    </xf>
    <xf numFmtId="164" fontId="6" fillId="6" borderId="11" xfId="1" applyNumberFormat="1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164" fontId="21" fillId="0" borderId="2" xfId="1" applyNumberFormat="1" applyFont="1" applyFill="1" applyBorder="1" applyAlignment="1">
      <alignment horizontal="left" vertical="center"/>
    </xf>
    <xf numFmtId="164" fontId="21" fillId="0" borderId="3" xfId="1" applyNumberFormat="1" applyFont="1" applyFill="1" applyBorder="1" applyAlignment="1">
      <alignment horizontal="left" vertical="center"/>
    </xf>
    <xf numFmtId="164" fontId="21" fillId="0" borderId="4" xfId="1" applyNumberFormat="1" applyFont="1" applyFill="1" applyBorder="1" applyAlignment="1">
      <alignment horizontal="left" vertical="center"/>
    </xf>
    <xf numFmtId="164" fontId="11" fillId="7" borderId="2" xfId="0" applyNumberFormat="1" applyFont="1" applyFill="1" applyBorder="1" applyAlignment="1">
      <alignment horizontal="left" vertical="center" wrapText="1"/>
    </xf>
    <xf numFmtId="164" fontId="11" fillId="7" borderId="3" xfId="0" applyNumberFormat="1" applyFont="1" applyFill="1" applyBorder="1" applyAlignment="1">
      <alignment horizontal="left" vertical="center" wrapText="1"/>
    </xf>
    <xf numFmtId="164" fontId="11" fillId="7" borderId="4" xfId="0" applyNumberFormat="1" applyFont="1" applyFill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11" fillId="7" borderId="7" xfId="1" applyNumberFormat="1" applyFont="1" applyFill="1" applyBorder="1" applyAlignment="1">
      <alignment horizontal="left" vertical="center" wrapText="1"/>
    </xf>
    <xf numFmtId="164" fontId="11" fillId="7" borderId="8" xfId="1" applyNumberFormat="1" applyFont="1" applyFill="1" applyBorder="1" applyAlignment="1">
      <alignment horizontal="left" vertical="center" wrapText="1"/>
    </xf>
    <xf numFmtId="164" fontId="11" fillId="7" borderId="12" xfId="1" applyNumberFormat="1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>
      <alignment horizontal="left" vertical="center" wrapText="1"/>
    </xf>
    <xf numFmtId="164" fontId="6" fillId="0" borderId="3" xfId="1" applyNumberFormat="1" applyFont="1" applyFill="1" applyBorder="1" applyAlignment="1">
      <alignment horizontal="left" vertical="center" wrapText="1"/>
    </xf>
    <xf numFmtId="164" fontId="6" fillId="0" borderId="4" xfId="1" applyNumberFormat="1" applyFont="1" applyFill="1" applyBorder="1" applyAlignment="1">
      <alignment horizontal="left" vertical="center" wrapText="1"/>
    </xf>
    <xf numFmtId="164" fontId="11" fillId="4" borderId="7" xfId="1" applyNumberFormat="1" applyFont="1" applyFill="1" applyBorder="1" applyAlignment="1">
      <alignment horizontal="left" vertical="center" wrapText="1"/>
    </xf>
    <xf numFmtId="164" fontId="11" fillId="4" borderId="8" xfId="1" applyNumberFormat="1" applyFont="1" applyFill="1" applyBorder="1" applyAlignment="1">
      <alignment horizontal="left" vertical="center" wrapText="1"/>
    </xf>
    <xf numFmtId="164" fontId="12" fillId="7" borderId="0" xfId="0" applyNumberFormat="1" applyFont="1" applyFill="1"/>
    <xf numFmtId="164" fontId="11" fillId="7" borderId="2" xfId="1" applyNumberFormat="1" applyFont="1" applyFill="1" applyBorder="1" applyAlignment="1">
      <alignment horizontal="left" vertical="center" wrapText="1"/>
    </xf>
    <xf numFmtId="164" fontId="11" fillId="7" borderId="3" xfId="1" applyNumberFormat="1" applyFont="1" applyFill="1" applyBorder="1" applyAlignment="1">
      <alignment horizontal="left" vertical="center" wrapText="1"/>
    </xf>
    <xf numFmtId="164" fontId="11" fillId="7" borderId="4" xfId="1" applyNumberFormat="1" applyFont="1" applyFill="1" applyBorder="1" applyAlignment="1">
      <alignment horizontal="left" vertical="center" wrapText="1"/>
    </xf>
    <xf numFmtId="164" fontId="6" fillId="6" borderId="2" xfId="1" applyNumberFormat="1" applyFont="1" applyFill="1" applyBorder="1" applyAlignment="1">
      <alignment horizontal="left" vertical="center" wrapText="1"/>
    </xf>
    <xf numFmtId="164" fontId="6" fillId="6" borderId="3" xfId="1" applyNumberFormat="1" applyFont="1" applyFill="1" applyBorder="1" applyAlignment="1">
      <alignment horizontal="left" vertical="center" wrapText="1"/>
    </xf>
    <xf numFmtId="164" fontId="6" fillId="6" borderId="4" xfId="1" applyNumberFormat="1" applyFont="1" applyFill="1" applyBorder="1" applyAlignment="1">
      <alignment horizontal="left" vertical="center" wrapText="1"/>
    </xf>
    <xf numFmtId="164" fontId="11" fillId="7" borderId="2" xfId="1" applyNumberFormat="1" applyFont="1" applyFill="1" applyBorder="1" applyAlignment="1">
      <alignment vertical="center" wrapText="1"/>
    </xf>
    <xf numFmtId="164" fontId="11" fillId="7" borderId="3" xfId="1" applyNumberFormat="1" applyFont="1" applyFill="1" applyBorder="1" applyAlignment="1">
      <alignment vertical="center" wrapText="1"/>
    </xf>
    <xf numFmtId="164" fontId="11" fillId="7" borderId="4" xfId="1" applyNumberFormat="1" applyFont="1" applyFill="1" applyBorder="1" applyAlignment="1">
      <alignment vertical="center" wrapText="1"/>
    </xf>
    <xf numFmtId="164" fontId="18" fillId="0" borderId="10" xfId="0" applyNumberFormat="1" applyFont="1" applyFill="1" applyBorder="1" applyAlignment="1">
      <alignment horizontal="left" vertical="center" wrapText="1"/>
    </xf>
    <xf numFmtId="164" fontId="18" fillId="0" borderId="5" xfId="0" applyNumberFormat="1" applyFont="1" applyFill="1" applyBorder="1" applyAlignment="1">
      <alignment horizontal="left" vertical="center" wrapText="1"/>
    </xf>
    <xf numFmtId="164" fontId="18" fillId="7" borderId="2" xfId="0" applyNumberFormat="1" applyFont="1" applyFill="1" applyBorder="1" applyAlignment="1">
      <alignment horizontal="left" vertical="center" wrapText="1"/>
    </xf>
    <xf numFmtId="164" fontId="6" fillId="6" borderId="2" xfId="0" applyNumberFormat="1" applyFont="1" applyFill="1" applyBorder="1" applyAlignment="1">
      <alignment horizontal="left" vertical="center" wrapText="1"/>
    </xf>
    <xf numFmtId="164" fontId="6" fillId="6" borderId="3" xfId="0" applyNumberFormat="1" applyFont="1" applyFill="1" applyBorder="1" applyAlignment="1">
      <alignment horizontal="left" vertical="center" wrapText="1"/>
    </xf>
    <xf numFmtId="164" fontId="6" fillId="6" borderId="4" xfId="0" applyNumberFormat="1" applyFont="1" applyFill="1" applyBorder="1" applyAlignment="1">
      <alignment horizontal="left" vertical="center" wrapText="1"/>
    </xf>
    <xf numFmtId="164" fontId="18" fillId="2" borderId="2" xfId="0" applyNumberFormat="1" applyFont="1" applyFill="1" applyBorder="1" applyAlignment="1">
      <alignment horizontal="left" vertical="center" wrapText="1"/>
    </xf>
    <xf numFmtId="164" fontId="17" fillId="2" borderId="3" xfId="0" applyNumberFormat="1" applyFont="1" applyFill="1" applyBorder="1" applyAlignment="1">
      <alignment horizontal="left" vertical="center" wrapText="1"/>
    </xf>
    <xf numFmtId="164" fontId="17" fillId="2" borderId="4" xfId="0" applyNumberFormat="1" applyFont="1" applyFill="1" applyBorder="1" applyAlignment="1">
      <alignment horizontal="left" vertical="center" wrapText="1"/>
    </xf>
    <xf numFmtId="164" fontId="48" fillId="13" borderId="15" xfId="0" applyNumberFormat="1" applyFont="1" applyFill="1" applyBorder="1" applyAlignment="1">
      <alignment horizontal="left" vertical="center" wrapText="1"/>
    </xf>
    <xf numFmtId="164" fontId="48" fillId="13" borderId="0" xfId="0" applyNumberFormat="1" applyFont="1" applyFill="1" applyBorder="1" applyAlignment="1">
      <alignment horizontal="left" vertical="center" wrapText="1"/>
    </xf>
    <xf numFmtId="164" fontId="11" fillId="7" borderId="2" xfId="1" applyNumberFormat="1" applyFont="1" applyFill="1" applyBorder="1" applyAlignment="1">
      <alignment horizontal="left" vertical="center"/>
    </xf>
    <xf numFmtId="164" fontId="11" fillId="7" borderId="3" xfId="1" applyNumberFormat="1" applyFont="1" applyFill="1" applyBorder="1" applyAlignment="1">
      <alignment horizontal="left" vertical="center"/>
    </xf>
    <xf numFmtId="164" fontId="11" fillId="7" borderId="4" xfId="1" applyNumberFormat="1" applyFont="1" applyFill="1" applyBorder="1" applyAlignment="1">
      <alignment horizontal="left" vertical="center"/>
    </xf>
    <xf numFmtId="164" fontId="6" fillId="0" borderId="2" xfId="1" applyNumberFormat="1" applyFont="1" applyFill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left" vertical="center"/>
    </xf>
    <xf numFmtId="164" fontId="6" fillId="0" borderId="4" xfId="1" applyNumberFormat="1" applyFont="1" applyFill="1" applyBorder="1" applyAlignment="1">
      <alignment horizontal="left" vertical="center"/>
    </xf>
    <xf numFmtId="164" fontId="11" fillId="4" borderId="2" xfId="0" applyNumberFormat="1" applyFont="1" applyFill="1" applyBorder="1" applyAlignment="1">
      <alignment horizontal="left" vertical="center" wrapText="1"/>
    </xf>
    <xf numFmtId="164" fontId="11" fillId="4" borderId="3" xfId="0" applyNumberFormat="1" applyFont="1" applyFill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left" vertical="center" wrapText="1"/>
    </xf>
    <xf numFmtId="164" fontId="48" fillId="13" borderId="2" xfId="0" applyNumberFormat="1" applyFont="1" applyFill="1" applyBorder="1" applyAlignment="1">
      <alignment horizontal="left" vertical="center" wrapText="1"/>
    </xf>
    <xf numFmtId="164" fontId="48" fillId="13" borderId="3" xfId="0" applyNumberFormat="1" applyFont="1" applyFill="1" applyBorder="1" applyAlignment="1">
      <alignment horizontal="left" vertical="center" wrapText="1"/>
    </xf>
    <xf numFmtId="164" fontId="18" fillId="2" borderId="3" xfId="0" applyNumberFormat="1" applyFont="1" applyFill="1" applyBorder="1" applyAlignment="1">
      <alignment horizontal="left" vertical="center" wrapText="1"/>
    </xf>
    <xf numFmtId="164" fontId="18" fillId="2" borderId="4" xfId="0" applyNumberFormat="1" applyFont="1" applyFill="1" applyBorder="1" applyAlignment="1">
      <alignment horizontal="left" vertical="center" wrapText="1"/>
    </xf>
    <xf numFmtId="164" fontId="18" fillId="6" borderId="2" xfId="1" applyNumberFormat="1" applyFont="1" applyFill="1" applyBorder="1" applyAlignment="1">
      <alignment horizontal="center" vertical="top" wrapText="1"/>
    </xf>
    <xf numFmtId="164" fontId="18" fillId="6" borderId="3" xfId="1" applyNumberFormat="1" applyFont="1" applyFill="1" applyBorder="1" applyAlignment="1">
      <alignment horizontal="center" vertical="top" wrapText="1"/>
    </xf>
    <xf numFmtId="164" fontId="18" fillId="6" borderId="4" xfId="1" applyNumberFormat="1" applyFont="1" applyFill="1" applyBorder="1" applyAlignment="1">
      <alignment horizontal="center" vertical="top" wrapText="1"/>
    </xf>
    <xf numFmtId="164" fontId="11" fillId="4" borderId="2" xfId="1" applyNumberFormat="1" applyFont="1" applyFill="1" applyBorder="1" applyAlignment="1">
      <alignment horizontal="left" vertical="center" wrapText="1"/>
    </xf>
    <xf numFmtId="164" fontId="11" fillId="4" borderId="3" xfId="1" applyNumberFormat="1" applyFont="1" applyFill="1" applyBorder="1" applyAlignment="1">
      <alignment horizontal="left" vertical="center" wrapText="1"/>
    </xf>
    <xf numFmtId="164" fontId="6" fillId="0" borderId="10" xfId="1" applyNumberFormat="1" applyFont="1" applyFill="1" applyBorder="1" applyAlignment="1">
      <alignment horizontal="left" vertical="center"/>
    </xf>
    <xf numFmtId="164" fontId="6" fillId="0" borderId="5" xfId="1" applyNumberFormat="1" applyFont="1" applyFill="1" applyBorder="1" applyAlignment="1">
      <alignment horizontal="left" vertical="center"/>
    </xf>
    <xf numFmtId="164" fontId="11" fillId="0" borderId="2" xfId="1" applyNumberFormat="1" applyFont="1" applyFill="1" applyBorder="1" applyAlignment="1">
      <alignment horizontal="left" vertical="center" wrapText="1"/>
    </xf>
    <xf numFmtId="164" fontId="11" fillId="0" borderId="3" xfId="1" applyNumberFormat="1" applyFont="1" applyFill="1" applyBorder="1" applyAlignment="1">
      <alignment horizontal="left" vertical="center" wrapText="1"/>
    </xf>
    <xf numFmtId="164" fontId="11" fillId="0" borderId="4" xfId="1" applyNumberFormat="1" applyFont="1" applyFill="1" applyBorder="1" applyAlignment="1">
      <alignment horizontal="left" vertical="center" wrapText="1"/>
    </xf>
    <xf numFmtId="164" fontId="14" fillId="2" borderId="3" xfId="0" applyNumberFormat="1" applyFont="1" applyFill="1" applyBorder="1" applyAlignment="1">
      <alignment horizontal="left" vertical="center" wrapText="1"/>
    </xf>
    <xf numFmtId="164" fontId="14" fillId="2" borderId="4" xfId="0" applyNumberFormat="1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vertical="center" wrapText="1"/>
    </xf>
    <xf numFmtId="164" fontId="11" fillId="4" borderId="12" xfId="1" applyNumberFormat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left" vertical="center"/>
    </xf>
    <xf numFmtId="164" fontId="17" fillId="0" borderId="4" xfId="1" applyNumberFormat="1" applyFont="1" applyFill="1" applyBorder="1" applyAlignment="1">
      <alignment horizontal="left" vertical="center"/>
    </xf>
    <xf numFmtId="164" fontId="11" fillId="4" borderId="4" xfId="1" applyNumberFormat="1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164" fontId="14" fillId="0" borderId="2" xfId="0" applyNumberFormat="1" applyFont="1" applyFill="1" applyBorder="1" applyAlignment="1">
      <alignment horizontal="left" vertical="center" wrapText="1"/>
    </xf>
    <xf numFmtId="164" fontId="14" fillId="0" borderId="3" xfId="0" applyNumberFormat="1" applyFont="1" applyFill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left" vertical="center" wrapText="1"/>
    </xf>
    <xf numFmtId="164" fontId="11" fillId="2" borderId="3" xfId="1" applyNumberFormat="1" applyFont="1" applyFill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left" vertical="center" wrapText="1"/>
    </xf>
    <xf numFmtId="164" fontId="6" fillId="0" borderId="10" xfId="1" applyNumberFormat="1" applyFont="1" applyFill="1" applyBorder="1" applyAlignment="1">
      <alignment horizontal="left" vertical="center" wrapText="1"/>
    </xf>
    <xf numFmtId="164" fontId="6" fillId="0" borderId="5" xfId="1" applyNumberFormat="1" applyFont="1" applyFill="1" applyBorder="1" applyAlignment="1">
      <alignment horizontal="left" vertical="center" wrapText="1"/>
    </xf>
    <xf numFmtId="164" fontId="11" fillId="7" borderId="2" xfId="0" applyNumberFormat="1" applyFont="1" applyFill="1" applyBorder="1" applyAlignment="1">
      <alignment horizontal="left" vertical="top" wrapText="1"/>
    </xf>
    <xf numFmtId="164" fontId="6" fillId="7" borderId="3" xfId="0" applyNumberFormat="1" applyFont="1" applyFill="1" applyBorder="1" applyAlignment="1">
      <alignment horizontal="left" vertical="top" wrapText="1"/>
    </xf>
    <xf numFmtId="164" fontId="6" fillId="7" borderId="4" xfId="0" applyNumberFormat="1" applyFont="1" applyFill="1" applyBorder="1" applyAlignment="1">
      <alignment horizontal="left" vertical="top" wrapText="1"/>
    </xf>
    <xf numFmtId="164" fontId="14" fillId="9" borderId="2" xfId="0" applyNumberFormat="1" applyFont="1" applyFill="1" applyBorder="1" applyAlignment="1">
      <alignment horizontal="left" vertical="center" wrapText="1"/>
    </xf>
    <xf numFmtId="164" fontId="14" fillId="9" borderId="3" xfId="0" applyNumberFormat="1" applyFont="1" applyFill="1" applyBorder="1" applyAlignment="1">
      <alignment horizontal="left" vertical="center" wrapText="1"/>
    </xf>
    <xf numFmtId="164" fontId="5" fillId="6" borderId="3" xfId="1" applyNumberFormat="1" applyFont="1" applyFill="1" applyBorder="1" applyAlignment="1">
      <alignment horizontal="left" vertical="center" wrapText="1"/>
    </xf>
    <xf numFmtId="164" fontId="5" fillId="6" borderId="4" xfId="1" applyNumberFormat="1" applyFont="1" applyFill="1" applyBorder="1" applyAlignment="1">
      <alignment horizontal="left" vertical="center" wrapText="1"/>
    </xf>
    <xf numFmtId="164" fontId="18" fillId="0" borderId="2" xfId="1" applyNumberFormat="1" applyFont="1" applyFill="1" applyBorder="1" applyAlignment="1">
      <alignment horizontal="left" vertical="center" wrapText="1"/>
    </xf>
    <xf numFmtId="164" fontId="18" fillId="0" borderId="3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2" fontId="18" fillId="6" borderId="2" xfId="1" applyNumberFormat="1" applyFont="1" applyFill="1" applyBorder="1" applyAlignment="1">
      <alignment horizontal="left" vertical="center" wrapText="1"/>
    </xf>
    <xf numFmtId="2" fontId="18" fillId="6" borderId="3" xfId="1" applyNumberFormat="1" applyFont="1" applyFill="1" applyBorder="1" applyAlignment="1">
      <alignment horizontal="left" vertical="center" wrapText="1"/>
    </xf>
    <xf numFmtId="2" fontId="18" fillId="6" borderId="4" xfId="1" applyNumberFormat="1" applyFont="1" applyFill="1" applyBorder="1" applyAlignment="1">
      <alignment horizontal="left" vertical="center" wrapText="1"/>
    </xf>
    <xf numFmtId="164" fontId="21" fillId="6" borderId="2" xfId="1" applyNumberFormat="1" applyFont="1" applyFill="1" applyBorder="1" applyAlignment="1">
      <alignment horizontal="left" vertical="center" wrapText="1"/>
    </xf>
    <xf numFmtId="164" fontId="21" fillId="6" borderId="2" xfId="0" applyNumberFormat="1" applyFont="1" applyFill="1" applyBorder="1" applyAlignment="1">
      <alignment horizontal="left" vertical="center" wrapText="1"/>
    </xf>
    <xf numFmtId="164" fontId="21" fillId="6" borderId="3" xfId="0" applyNumberFormat="1" applyFont="1" applyFill="1" applyBorder="1" applyAlignment="1">
      <alignment horizontal="left" vertical="center" wrapText="1"/>
    </xf>
    <xf numFmtId="164" fontId="21" fillId="6" borderId="4" xfId="0" applyNumberFormat="1" applyFont="1" applyFill="1" applyBorder="1" applyAlignment="1">
      <alignment horizontal="left" vertical="center" wrapText="1"/>
    </xf>
    <xf numFmtId="164" fontId="14" fillId="9" borderId="4" xfId="0" applyNumberFormat="1" applyFont="1" applyFill="1" applyBorder="1" applyAlignment="1">
      <alignment horizontal="left" vertical="center" wrapText="1"/>
    </xf>
    <xf numFmtId="164" fontId="18" fillId="0" borderId="2" xfId="1" applyNumberFormat="1" applyFont="1" applyFill="1" applyBorder="1" applyAlignment="1">
      <alignment horizontal="left" vertical="center"/>
    </xf>
    <xf numFmtId="164" fontId="18" fillId="0" borderId="3" xfId="1" applyNumberFormat="1" applyFont="1" applyFill="1" applyBorder="1" applyAlignment="1">
      <alignment horizontal="left" vertical="center"/>
    </xf>
    <xf numFmtId="164" fontId="18" fillId="0" borderId="4" xfId="1" applyNumberFormat="1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 wrapText="1"/>
    </xf>
    <xf numFmtId="2" fontId="14" fillId="10" borderId="7" xfId="1" applyNumberFormat="1" applyFont="1" applyFill="1" applyBorder="1" applyAlignment="1">
      <alignment horizontal="left" vertical="center" wrapText="1"/>
    </xf>
    <xf numFmtId="2" fontId="14" fillId="10" borderId="8" xfId="1" applyNumberFormat="1" applyFont="1" applyFill="1" applyBorder="1" applyAlignment="1">
      <alignment horizontal="left" vertical="center" wrapText="1"/>
    </xf>
    <xf numFmtId="2" fontId="14" fillId="10" borderId="12" xfId="1" applyNumberFormat="1" applyFont="1" applyFill="1" applyBorder="1" applyAlignment="1">
      <alignment horizontal="left" vertical="center" wrapText="1"/>
    </xf>
    <xf numFmtId="164" fontId="21" fillId="10" borderId="6" xfId="1" applyNumberFormat="1" applyFont="1" applyFill="1" applyBorder="1" applyAlignment="1">
      <alignment horizontal="left" vertical="center" wrapText="1"/>
    </xf>
    <xf numFmtId="164" fontId="13" fillId="10" borderId="6" xfId="1" applyNumberFormat="1" applyFont="1" applyFill="1" applyBorder="1" applyAlignment="1">
      <alignment horizontal="left" vertical="center" wrapText="1"/>
    </xf>
    <xf numFmtId="164" fontId="11" fillId="2" borderId="8" xfId="1" applyNumberFormat="1" applyFont="1" applyFill="1" applyBorder="1" applyAlignment="1">
      <alignment horizontal="left" vertical="center" wrapText="1"/>
    </xf>
    <xf numFmtId="164" fontId="11" fillId="2" borderId="12" xfId="1" applyNumberFormat="1" applyFont="1" applyFill="1" applyBorder="1" applyAlignment="1">
      <alignment horizontal="left" vertical="center" wrapText="1"/>
    </xf>
    <xf numFmtId="164" fontId="13" fillId="6" borderId="3" xfId="1" applyNumberFormat="1" applyFont="1" applyFill="1" applyBorder="1" applyAlignment="1">
      <alignment horizontal="left" vertical="center" wrapText="1"/>
    </xf>
    <xf numFmtId="164" fontId="13" fillId="6" borderId="4" xfId="1" applyNumberFormat="1" applyFont="1" applyFill="1" applyBorder="1" applyAlignment="1">
      <alignment horizontal="left" vertical="center" wrapText="1"/>
    </xf>
    <xf numFmtId="164" fontId="18" fillId="4" borderId="3" xfId="0" applyNumberFormat="1" applyFont="1" applyFill="1" applyBorder="1" applyAlignment="1">
      <alignment horizontal="left" vertical="center" wrapText="1"/>
    </xf>
    <xf numFmtId="164" fontId="18" fillId="6" borderId="2" xfId="1" applyNumberFormat="1" applyFont="1" applyFill="1" applyBorder="1" applyAlignment="1">
      <alignment horizontal="left" vertical="center"/>
    </xf>
    <xf numFmtId="164" fontId="18" fillId="6" borderId="3" xfId="1" applyNumberFormat="1" applyFont="1" applyFill="1" applyBorder="1" applyAlignment="1">
      <alignment horizontal="left" vertical="center"/>
    </xf>
    <xf numFmtId="164" fontId="5" fillId="6" borderId="5" xfId="1" applyNumberFormat="1" applyFont="1" applyFill="1" applyBorder="1" applyAlignment="1">
      <alignment horizontal="left" vertical="center" wrapText="1"/>
    </xf>
    <xf numFmtId="164" fontId="5" fillId="6" borderId="11" xfId="1" applyNumberFormat="1" applyFont="1" applyFill="1" applyBorder="1" applyAlignment="1">
      <alignment horizontal="left" vertical="center" wrapText="1"/>
    </xf>
    <xf numFmtId="164" fontId="19" fillId="6" borderId="1" xfId="0" applyNumberFormat="1" applyFont="1" applyFill="1" applyBorder="1" applyAlignment="1">
      <alignment wrapText="1"/>
    </xf>
    <xf numFmtId="164" fontId="3" fillId="6" borderId="1" xfId="0" applyNumberFormat="1" applyFont="1" applyFill="1" applyBorder="1" applyAlignment="1">
      <alignment wrapText="1"/>
    </xf>
    <xf numFmtId="164" fontId="5" fillId="6" borderId="1" xfId="0" applyNumberFormat="1" applyFont="1" applyFill="1" applyBorder="1" applyAlignment="1">
      <alignment wrapText="1"/>
    </xf>
    <xf numFmtId="164" fontId="19" fillId="6" borderId="1" xfId="0" applyNumberFormat="1" applyFont="1" applyFill="1" applyBorder="1" applyAlignment="1">
      <alignment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4" fontId="42" fillId="6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left" vertical="center" wrapText="1"/>
    </xf>
    <xf numFmtId="4" fontId="50" fillId="13" borderId="2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50C~1.ADM/AppData/Local/Temp/Rar$DIa0.825/&#1056;&#1072;&#1089;&#1095;&#1077;&#1090;%20&#1086;&#1094;&#1077;&#1085;&#1082;&#1080;%20&#1101;&#1092;-&#1090;&#1080;%20&#1079;&#1072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оценки эффективности"/>
      <sheetName val="Отчет"/>
      <sheetName val="Внесение изменений"/>
      <sheetName val="Лист2"/>
      <sheetName val="Лист5"/>
      <sheetName val="рейтинг "/>
      <sheetName val="Лист1"/>
      <sheetName val="Лист4"/>
      <sheetName val="Лист3"/>
      <sheetName val="Лист6"/>
      <sheetName val="План 2017-2020"/>
    </sheetNames>
    <sheetDataSet>
      <sheetData sheetId="0" refreshError="1"/>
      <sheetData sheetId="1">
        <row r="334">
          <cell r="I334">
            <v>1</v>
          </cell>
        </row>
      </sheetData>
      <sheetData sheetId="2">
        <row r="4">
          <cell r="H4">
            <v>0.75</v>
          </cell>
        </row>
        <row r="5">
          <cell r="H5">
            <v>1</v>
          </cell>
        </row>
        <row r="7">
          <cell r="H7">
            <v>0.75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584"/>
  <sheetViews>
    <sheetView tabSelected="1" topLeftCell="C462" zoomScaleNormal="100" workbookViewId="0">
      <selection activeCell="S471" sqref="S471"/>
    </sheetView>
  </sheetViews>
  <sheetFormatPr defaultRowHeight="15"/>
  <cols>
    <col min="1" max="1" width="10.85546875" style="1" hidden="1" customWidth="1"/>
    <col min="2" max="2" width="11.42578125" style="2" customWidth="1"/>
    <col min="3" max="3" width="41.42578125" style="80" customWidth="1"/>
    <col min="4" max="4" width="10.7109375" style="2" customWidth="1"/>
    <col min="5" max="5" width="23.5703125" style="296" customWidth="1"/>
    <col min="6" max="6" width="21.42578125" style="296" customWidth="1"/>
    <col min="7" max="7" width="17.140625" style="113" customWidth="1"/>
    <col min="8" max="8" width="20.140625" style="438" customWidth="1"/>
    <col min="9" max="9" width="40.85546875" style="3" customWidth="1"/>
    <col min="10" max="10" width="9.28515625" style="4" customWidth="1"/>
    <col min="11" max="11" width="12.140625" style="255" customWidth="1"/>
    <col min="12" max="12" width="11.7109375" style="255" customWidth="1"/>
    <col min="13" max="13" width="12.42578125" style="3" customWidth="1"/>
    <col min="14" max="14" width="12.28515625" style="457" customWidth="1"/>
    <col min="15" max="15" width="40.140625" style="288" customWidth="1"/>
    <col min="16" max="27" width="9.140625" style="382"/>
    <col min="28" max="144" width="9.140625" style="124"/>
    <col min="145" max="255" width="9.140625" style="3"/>
    <col min="256" max="256" width="10.85546875" style="3" bestFit="1" customWidth="1"/>
    <col min="257" max="257" width="5.85546875" style="3" customWidth="1"/>
    <col min="258" max="258" width="43.28515625" style="3" customWidth="1"/>
    <col min="259" max="259" width="8" style="3" customWidth="1"/>
    <col min="260" max="260" width="13.85546875" style="3" customWidth="1"/>
    <col min="261" max="261" width="15.5703125" style="3" customWidth="1"/>
    <col min="262" max="262" width="8.5703125" style="3" customWidth="1"/>
    <col min="263" max="263" width="11" style="3" customWidth="1"/>
    <col min="264" max="264" width="12.5703125" style="3" customWidth="1"/>
    <col min="265" max="265" width="33.85546875" style="3" customWidth="1"/>
    <col min="266" max="266" width="9.28515625" style="3" customWidth="1"/>
    <col min="267" max="267" width="7.42578125" style="3" customWidth="1"/>
    <col min="268" max="268" width="9.28515625" style="3" customWidth="1"/>
    <col min="269" max="269" width="12.42578125" style="3" customWidth="1"/>
    <col min="270" max="270" width="8.85546875" style="3" customWidth="1"/>
    <col min="271" max="511" width="9.140625" style="3"/>
    <col min="512" max="512" width="10.85546875" style="3" bestFit="1" customWidth="1"/>
    <col min="513" max="513" width="5.85546875" style="3" customWidth="1"/>
    <col min="514" max="514" width="43.28515625" style="3" customWidth="1"/>
    <col min="515" max="515" width="8" style="3" customWidth="1"/>
    <col min="516" max="516" width="13.85546875" style="3" customWidth="1"/>
    <col min="517" max="517" width="15.5703125" style="3" customWidth="1"/>
    <col min="518" max="518" width="8.5703125" style="3" customWidth="1"/>
    <col min="519" max="519" width="11" style="3" customWidth="1"/>
    <col min="520" max="520" width="12.5703125" style="3" customWidth="1"/>
    <col min="521" max="521" width="33.85546875" style="3" customWidth="1"/>
    <col min="522" max="522" width="9.28515625" style="3" customWidth="1"/>
    <col min="523" max="523" width="7.42578125" style="3" customWidth="1"/>
    <col min="524" max="524" width="9.28515625" style="3" customWidth="1"/>
    <col min="525" max="525" width="12.42578125" style="3" customWidth="1"/>
    <col min="526" max="526" width="8.85546875" style="3" customWidth="1"/>
    <col min="527" max="767" width="9.140625" style="3"/>
    <col min="768" max="768" width="10.85546875" style="3" bestFit="1" customWidth="1"/>
    <col min="769" max="769" width="5.85546875" style="3" customWidth="1"/>
    <col min="770" max="770" width="43.28515625" style="3" customWidth="1"/>
    <col min="771" max="771" width="8" style="3" customWidth="1"/>
    <col min="772" max="772" width="13.85546875" style="3" customWidth="1"/>
    <col min="773" max="773" width="15.5703125" style="3" customWidth="1"/>
    <col min="774" max="774" width="8.5703125" style="3" customWidth="1"/>
    <col min="775" max="775" width="11" style="3" customWidth="1"/>
    <col min="776" max="776" width="12.5703125" style="3" customWidth="1"/>
    <col min="777" max="777" width="33.85546875" style="3" customWidth="1"/>
    <col min="778" max="778" width="9.28515625" style="3" customWidth="1"/>
    <col min="779" max="779" width="7.42578125" style="3" customWidth="1"/>
    <col min="780" max="780" width="9.28515625" style="3" customWidth="1"/>
    <col min="781" max="781" width="12.42578125" style="3" customWidth="1"/>
    <col min="782" max="782" width="8.85546875" style="3" customWidth="1"/>
    <col min="783" max="1023" width="9.140625" style="3"/>
    <col min="1024" max="1024" width="10.85546875" style="3" bestFit="1" customWidth="1"/>
    <col min="1025" max="1025" width="5.85546875" style="3" customWidth="1"/>
    <col min="1026" max="1026" width="43.28515625" style="3" customWidth="1"/>
    <col min="1027" max="1027" width="8" style="3" customWidth="1"/>
    <col min="1028" max="1028" width="13.85546875" style="3" customWidth="1"/>
    <col min="1029" max="1029" width="15.5703125" style="3" customWidth="1"/>
    <col min="1030" max="1030" width="8.5703125" style="3" customWidth="1"/>
    <col min="1031" max="1031" width="11" style="3" customWidth="1"/>
    <col min="1032" max="1032" width="12.5703125" style="3" customWidth="1"/>
    <col min="1033" max="1033" width="33.85546875" style="3" customWidth="1"/>
    <col min="1034" max="1034" width="9.28515625" style="3" customWidth="1"/>
    <col min="1035" max="1035" width="7.42578125" style="3" customWidth="1"/>
    <col min="1036" max="1036" width="9.28515625" style="3" customWidth="1"/>
    <col min="1037" max="1037" width="12.42578125" style="3" customWidth="1"/>
    <col min="1038" max="1038" width="8.85546875" style="3" customWidth="1"/>
    <col min="1039" max="1279" width="9.140625" style="3"/>
    <col min="1280" max="1280" width="10.85546875" style="3" bestFit="1" customWidth="1"/>
    <col min="1281" max="1281" width="5.85546875" style="3" customWidth="1"/>
    <col min="1282" max="1282" width="43.28515625" style="3" customWidth="1"/>
    <col min="1283" max="1283" width="8" style="3" customWidth="1"/>
    <col min="1284" max="1284" width="13.85546875" style="3" customWidth="1"/>
    <col min="1285" max="1285" width="15.5703125" style="3" customWidth="1"/>
    <col min="1286" max="1286" width="8.5703125" style="3" customWidth="1"/>
    <col min="1287" max="1287" width="11" style="3" customWidth="1"/>
    <col min="1288" max="1288" width="12.5703125" style="3" customWidth="1"/>
    <col min="1289" max="1289" width="33.85546875" style="3" customWidth="1"/>
    <col min="1290" max="1290" width="9.28515625" style="3" customWidth="1"/>
    <col min="1291" max="1291" width="7.42578125" style="3" customWidth="1"/>
    <col min="1292" max="1292" width="9.28515625" style="3" customWidth="1"/>
    <col min="1293" max="1293" width="12.42578125" style="3" customWidth="1"/>
    <col min="1294" max="1294" width="8.85546875" style="3" customWidth="1"/>
    <col min="1295" max="1535" width="9.140625" style="3"/>
    <col min="1536" max="1536" width="10.85546875" style="3" bestFit="1" customWidth="1"/>
    <col min="1537" max="1537" width="5.85546875" style="3" customWidth="1"/>
    <col min="1538" max="1538" width="43.28515625" style="3" customWidth="1"/>
    <col min="1539" max="1539" width="8" style="3" customWidth="1"/>
    <col min="1540" max="1540" width="13.85546875" style="3" customWidth="1"/>
    <col min="1541" max="1541" width="15.5703125" style="3" customWidth="1"/>
    <col min="1542" max="1542" width="8.5703125" style="3" customWidth="1"/>
    <col min="1543" max="1543" width="11" style="3" customWidth="1"/>
    <col min="1544" max="1544" width="12.5703125" style="3" customWidth="1"/>
    <col min="1545" max="1545" width="33.85546875" style="3" customWidth="1"/>
    <col min="1546" max="1546" width="9.28515625" style="3" customWidth="1"/>
    <col min="1547" max="1547" width="7.42578125" style="3" customWidth="1"/>
    <col min="1548" max="1548" width="9.28515625" style="3" customWidth="1"/>
    <col min="1549" max="1549" width="12.42578125" style="3" customWidth="1"/>
    <col min="1550" max="1550" width="8.85546875" style="3" customWidth="1"/>
    <col min="1551" max="1791" width="9.140625" style="3"/>
    <col min="1792" max="1792" width="10.85546875" style="3" bestFit="1" customWidth="1"/>
    <col min="1793" max="1793" width="5.85546875" style="3" customWidth="1"/>
    <col min="1794" max="1794" width="43.28515625" style="3" customWidth="1"/>
    <col min="1795" max="1795" width="8" style="3" customWidth="1"/>
    <col min="1796" max="1796" width="13.85546875" style="3" customWidth="1"/>
    <col min="1797" max="1797" width="15.5703125" style="3" customWidth="1"/>
    <col min="1798" max="1798" width="8.5703125" style="3" customWidth="1"/>
    <col min="1799" max="1799" width="11" style="3" customWidth="1"/>
    <col min="1800" max="1800" width="12.5703125" style="3" customWidth="1"/>
    <col min="1801" max="1801" width="33.85546875" style="3" customWidth="1"/>
    <col min="1802" max="1802" width="9.28515625" style="3" customWidth="1"/>
    <col min="1803" max="1803" width="7.42578125" style="3" customWidth="1"/>
    <col min="1804" max="1804" width="9.28515625" style="3" customWidth="1"/>
    <col min="1805" max="1805" width="12.42578125" style="3" customWidth="1"/>
    <col min="1806" max="1806" width="8.85546875" style="3" customWidth="1"/>
    <col min="1807" max="2047" width="9.140625" style="3"/>
    <col min="2048" max="2048" width="10.85546875" style="3" bestFit="1" customWidth="1"/>
    <col min="2049" max="2049" width="5.85546875" style="3" customWidth="1"/>
    <col min="2050" max="2050" width="43.28515625" style="3" customWidth="1"/>
    <col min="2051" max="2051" width="8" style="3" customWidth="1"/>
    <col min="2052" max="2052" width="13.85546875" style="3" customWidth="1"/>
    <col min="2053" max="2053" width="15.5703125" style="3" customWidth="1"/>
    <col min="2054" max="2054" width="8.5703125" style="3" customWidth="1"/>
    <col min="2055" max="2055" width="11" style="3" customWidth="1"/>
    <col min="2056" max="2056" width="12.5703125" style="3" customWidth="1"/>
    <col min="2057" max="2057" width="33.85546875" style="3" customWidth="1"/>
    <col min="2058" max="2058" width="9.28515625" style="3" customWidth="1"/>
    <col min="2059" max="2059" width="7.42578125" style="3" customWidth="1"/>
    <col min="2060" max="2060" width="9.28515625" style="3" customWidth="1"/>
    <col min="2061" max="2061" width="12.42578125" style="3" customWidth="1"/>
    <col min="2062" max="2062" width="8.85546875" style="3" customWidth="1"/>
    <col min="2063" max="2303" width="9.140625" style="3"/>
    <col min="2304" max="2304" width="10.85546875" style="3" bestFit="1" customWidth="1"/>
    <col min="2305" max="2305" width="5.85546875" style="3" customWidth="1"/>
    <col min="2306" max="2306" width="43.28515625" style="3" customWidth="1"/>
    <col min="2307" max="2307" width="8" style="3" customWidth="1"/>
    <col min="2308" max="2308" width="13.85546875" style="3" customWidth="1"/>
    <col min="2309" max="2309" width="15.5703125" style="3" customWidth="1"/>
    <col min="2310" max="2310" width="8.5703125" style="3" customWidth="1"/>
    <col min="2311" max="2311" width="11" style="3" customWidth="1"/>
    <col min="2312" max="2312" width="12.5703125" style="3" customWidth="1"/>
    <col min="2313" max="2313" width="33.85546875" style="3" customWidth="1"/>
    <col min="2314" max="2314" width="9.28515625" style="3" customWidth="1"/>
    <col min="2315" max="2315" width="7.42578125" style="3" customWidth="1"/>
    <col min="2316" max="2316" width="9.28515625" style="3" customWidth="1"/>
    <col min="2317" max="2317" width="12.42578125" style="3" customWidth="1"/>
    <col min="2318" max="2318" width="8.85546875" style="3" customWidth="1"/>
    <col min="2319" max="2559" width="9.140625" style="3"/>
    <col min="2560" max="2560" width="10.85546875" style="3" bestFit="1" customWidth="1"/>
    <col min="2561" max="2561" width="5.85546875" style="3" customWidth="1"/>
    <col min="2562" max="2562" width="43.28515625" style="3" customWidth="1"/>
    <col min="2563" max="2563" width="8" style="3" customWidth="1"/>
    <col min="2564" max="2564" width="13.85546875" style="3" customWidth="1"/>
    <col min="2565" max="2565" width="15.5703125" style="3" customWidth="1"/>
    <col min="2566" max="2566" width="8.5703125" style="3" customWidth="1"/>
    <col min="2567" max="2567" width="11" style="3" customWidth="1"/>
    <col min="2568" max="2568" width="12.5703125" style="3" customWidth="1"/>
    <col min="2569" max="2569" width="33.85546875" style="3" customWidth="1"/>
    <col min="2570" max="2570" width="9.28515625" style="3" customWidth="1"/>
    <col min="2571" max="2571" width="7.42578125" style="3" customWidth="1"/>
    <col min="2572" max="2572" width="9.28515625" style="3" customWidth="1"/>
    <col min="2573" max="2573" width="12.42578125" style="3" customWidth="1"/>
    <col min="2574" max="2574" width="8.85546875" style="3" customWidth="1"/>
    <col min="2575" max="2815" width="9.140625" style="3"/>
    <col min="2816" max="2816" width="10.85546875" style="3" bestFit="1" customWidth="1"/>
    <col min="2817" max="2817" width="5.85546875" style="3" customWidth="1"/>
    <col min="2818" max="2818" width="43.28515625" style="3" customWidth="1"/>
    <col min="2819" max="2819" width="8" style="3" customWidth="1"/>
    <col min="2820" max="2820" width="13.85546875" style="3" customWidth="1"/>
    <col min="2821" max="2821" width="15.5703125" style="3" customWidth="1"/>
    <col min="2822" max="2822" width="8.5703125" style="3" customWidth="1"/>
    <col min="2823" max="2823" width="11" style="3" customWidth="1"/>
    <col min="2824" max="2824" width="12.5703125" style="3" customWidth="1"/>
    <col min="2825" max="2825" width="33.85546875" style="3" customWidth="1"/>
    <col min="2826" max="2826" width="9.28515625" style="3" customWidth="1"/>
    <col min="2827" max="2827" width="7.42578125" style="3" customWidth="1"/>
    <col min="2828" max="2828" width="9.28515625" style="3" customWidth="1"/>
    <col min="2829" max="2829" width="12.42578125" style="3" customWidth="1"/>
    <col min="2830" max="2830" width="8.85546875" style="3" customWidth="1"/>
    <col min="2831" max="3071" width="9.140625" style="3"/>
    <col min="3072" max="3072" width="10.85546875" style="3" bestFit="1" customWidth="1"/>
    <col min="3073" max="3073" width="5.85546875" style="3" customWidth="1"/>
    <col min="3074" max="3074" width="43.28515625" style="3" customWidth="1"/>
    <col min="3075" max="3075" width="8" style="3" customWidth="1"/>
    <col min="3076" max="3076" width="13.85546875" style="3" customWidth="1"/>
    <col min="3077" max="3077" width="15.5703125" style="3" customWidth="1"/>
    <col min="3078" max="3078" width="8.5703125" style="3" customWidth="1"/>
    <col min="3079" max="3079" width="11" style="3" customWidth="1"/>
    <col min="3080" max="3080" width="12.5703125" style="3" customWidth="1"/>
    <col min="3081" max="3081" width="33.85546875" style="3" customWidth="1"/>
    <col min="3082" max="3082" width="9.28515625" style="3" customWidth="1"/>
    <col min="3083" max="3083" width="7.42578125" style="3" customWidth="1"/>
    <col min="3084" max="3084" width="9.28515625" style="3" customWidth="1"/>
    <col min="3085" max="3085" width="12.42578125" style="3" customWidth="1"/>
    <col min="3086" max="3086" width="8.85546875" style="3" customWidth="1"/>
    <col min="3087" max="3327" width="9.140625" style="3"/>
    <col min="3328" max="3328" width="10.85546875" style="3" bestFit="1" customWidth="1"/>
    <col min="3329" max="3329" width="5.85546875" style="3" customWidth="1"/>
    <col min="3330" max="3330" width="43.28515625" style="3" customWidth="1"/>
    <col min="3331" max="3331" width="8" style="3" customWidth="1"/>
    <col min="3332" max="3332" width="13.85546875" style="3" customWidth="1"/>
    <col min="3333" max="3333" width="15.5703125" style="3" customWidth="1"/>
    <col min="3334" max="3334" width="8.5703125" style="3" customWidth="1"/>
    <col min="3335" max="3335" width="11" style="3" customWidth="1"/>
    <col min="3336" max="3336" width="12.5703125" style="3" customWidth="1"/>
    <col min="3337" max="3337" width="33.85546875" style="3" customWidth="1"/>
    <col min="3338" max="3338" width="9.28515625" style="3" customWidth="1"/>
    <col min="3339" max="3339" width="7.42578125" style="3" customWidth="1"/>
    <col min="3340" max="3340" width="9.28515625" style="3" customWidth="1"/>
    <col min="3341" max="3341" width="12.42578125" style="3" customWidth="1"/>
    <col min="3342" max="3342" width="8.85546875" style="3" customWidth="1"/>
    <col min="3343" max="3583" width="9.140625" style="3"/>
    <col min="3584" max="3584" width="10.85546875" style="3" bestFit="1" customWidth="1"/>
    <col min="3585" max="3585" width="5.85546875" style="3" customWidth="1"/>
    <col min="3586" max="3586" width="43.28515625" style="3" customWidth="1"/>
    <col min="3587" max="3587" width="8" style="3" customWidth="1"/>
    <col min="3588" max="3588" width="13.85546875" style="3" customWidth="1"/>
    <col min="3589" max="3589" width="15.5703125" style="3" customWidth="1"/>
    <col min="3590" max="3590" width="8.5703125" style="3" customWidth="1"/>
    <col min="3591" max="3591" width="11" style="3" customWidth="1"/>
    <col min="3592" max="3592" width="12.5703125" style="3" customWidth="1"/>
    <col min="3593" max="3593" width="33.85546875" style="3" customWidth="1"/>
    <col min="3594" max="3594" width="9.28515625" style="3" customWidth="1"/>
    <col min="3595" max="3595" width="7.42578125" style="3" customWidth="1"/>
    <col min="3596" max="3596" width="9.28515625" style="3" customWidth="1"/>
    <col min="3597" max="3597" width="12.42578125" style="3" customWidth="1"/>
    <col min="3598" max="3598" width="8.85546875" style="3" customWidth="1"/>
    <col min="3599" max="3839" width="9.140625" style="3"/>
    <col min="3840" max="3840" width="10.85546875" style="3" bestFit="1" customWidth="1"/>
    <col min="3841" max="3841" width="5.85546875" style="3" customWidth="1"/>
    <col min="3842" max="3842" width="43.28515625" style="3" customWidth="1"/>
    <col min="3843" max="3843" width="8" style="3" customWidth="1"/>
    <col min="3844" max="3844" width="13.85546875" style="3" customWidth="1"/>
    <col min="3845" max="3845" width="15.5703125" style="3" customWidth="1"/>
    <col min="3846" max="3846" width="8.5703125" style="3" customWidth="1"/>
    <col min="3847" max="3847" width="11" style="3" customWidth="1"/>
    <col min="3848" max="3848" width="12.5703125" style="3" customWidth="1"/>
    <col min="3849" max="3849" width="33.85546875" style="3" customWidth="1"/>
    <col min="3850" max="3850" width="9.28515625" style="3" customWidth="1"/>
    <col min="3851" max="3851" width="7.42578125" style="3" customWidth="1"/>
    <col min="3852" max="3852" width="9.28515625" style="3" customWidth="1"/>
    <col min="3853" max="3853" width="12.42578125" style="3" customWidth="1"/>
    <col min="3854" max="3854" width="8.85546875" style="3" customWidth="1"/>
    <col min="3855" max="4095" width="9.140625" style="3"/>
    <col min="4096" max="4096" width="10.85546875" style="3" bestFit="1" customWidth="1"/>
    <col min="4097" max="4097" width="5.85546875" style="3" customWidth="1"/>
    <col min="4098" max="4098" width="43.28515625" style="3" customWidth="1"/>
    <col min="4099" max="4099" width="8" style="3" customWidth="1"/>
    <col min="4100" max="4100" width="13.85546875" style="3" customWidth="1"/>
    <col min="4101" max="4101" width="15.5703125" style="3" customWidth="1"/>
    <col min="4102" max="4102" width="8.5703125" style="3" customWidth="1"/>
    <col min="4103" max="4103" width="11" style="3" customWidth="1"/>
    <col min="4104" max="4104" width="12.5703125" style="3" customWidth="1"/>
    <col min="4105" max="4105" width="33.85546875" style="3" customWidth="1"/>
    <col min="4106" max="4106" width="9.28515625" style="3" customWidth="1"/>
    <col min="4107" max="4107" width="7.42578125" style="3" customWidth="1"/>
    <col min="4108" max="4108" width="9.28515625" style="3" customWidth="1"/>
    <col min="4109" max="4109" width="12.42578125" style="3" customWidth="1"/>
    <col min="4110" max="4110" width="8.85546875" style="3" customWidth="1"/>
    <col min="4111" max="4351" width="9.140625" style="3"/>
    <col min="4352" max="4352" width="10.85546875" style="3" bestFit="1" customWidth="1"/>
    <col min="4353" max="4353" width="5.85546875" style="3" customWidth="1"/>
    <col min="4354" max="4354" width="43.28515625" style="3" customWidth="1"/>
    <col min="4355" max="4355" width="8" style="3" customWidth="1"/>
    <col min="4356" max="4356" width="13.85546875" style="3" customWidth="1"/>
    <col min="4357" max="4357" width="15.5703125" style="3" customWidth="1"/>
    <col min="4358" max="4358" width="8.5703125" style="3" customWidth="1"/>
    <col min="4359" max="4359" width="11" style="3" customWidth="1"/>
    <col min="4360" max="4360" width="12.5703125" style="3" customWidth="1"/>
    <col min="4361" max="4361" width="33.85546875" style="3" customWidth="1"/>
    <col min="4362" max="4362" width="9.28515625" style="3" customWidth="1"/>
    <col min="4363" max="4363" width="7.42578125" style="3" customWidth="1"/>
    <col min="4364" max="4364" width="9.28515625" style="3" customWidth="1"/>
    <col min="4365" max="4365" width="12.42578125" style="3" customWidth="1"/>
    <col min="4366" max="4366" width="8.85546875" style="3" customWidth="1"/>
    <col min="4367" max="4607" width="9.140625" style="3"/>
    <col min="4608" max="4608" width="10.85546875" style="3" bestFit="1" customWidth="1"/>
    <col min="4609" max="4609" width="5.85546875" style="3" customWidth="1"/>
    <col min="4610" max="4610" width="43.28515625" style="3" customWidth="1"/>
    <col min="4611" max="4611" width="8" style="3" customWidth="1"/>
    <col min="4612" max="4612" width="13.85546875" style="3" customWidth="1"/>
    <col min="4613" max="4613" width="15.5703125" style="3" customWidth="1"/>
    <col min="4614" max="4614" width="8.5703125" style="3" customWidth="1"/>
    <col min="4615" max="4615" width="11" style="3" customWidth="1"/>
    <col min="4616" max="4616" width="12.5703125" style="3" customWidth="1"/>
    <col min="4617" max="4617" width="33.85546875" style="3" customWidth="1"/>
    <col min="4618" max="4618" width="9.28515625" style="3" customWidth="1"/>
    <col min="4619" max="4619" width="7.42578125" style="3" customWidth="1"/>
    <col min="4620" max="4620" width="9.28515625" style="3" customWidth="1"/>
    <col min="4621" max="4621" width="12.42578125" style="3" customWidth="1"/>
    <col min="4622" max="4622" width="8.85546875" style="3" customWidth="1"/>
    <col min="4623" max="4863" width="9.140625" style="3"/>
    <col min="4864" max="4864" width="10.85546875" style="3" bestFit="1" customWidth="1"/>
    <col min="4865" max="4865" width="5.85546875" style="3" customWidth="1"/>
    <col min="4866" max="4866" width="43.28515625" style="3" customWidth="1"/>
    <col min="4867" max="4867" width="8" style="3" customWidth="1"/>
    <col min="4868" max="4868" width="13.85546875" style="3" customWidth="1"/>
    <col min="4869" max="4869" width="15.5703125" style="3" customWidth="1"/>
    <col min="4870" max="4870" width="8.5703125" style="3" customWidth="1"/>
    <col min="4871" max="4871" width="11" style="3" customWidth="1"/>
    <col min="4872" max="4872" width="12.5703125" style="3" customWidth="1"/>
    <col min="4873" max="4873" width="33.85546875" style="3" customWidth="1"/>
    <col min="4874" max="4874" width="9.28515625" style="3" customWidth="1"/>
    <col min="4875" max="4875" width="7.42578125" style="3" customWidth="1"/>
    <col min="4876" max="4876" width="9.28515625" style="3" customWidth="1"/>
    <col min="4877" max="4877" width="12.42578125" style="3" customWidth="1"/>
    <col min="4878" max="4878" width="8.85546875" style="3" customWidth="1"/>
    <col min="4879" max="5119" width="9.140625" style="3"/>
    <col min="5120" max="5120" width="10.85546875" style="3" bestFit="1" customWidth="1"/>
    <col min="5121" max="5121" width="5.85546875" style="3" customWidth="1"/>
    <col min="5122" max="5122" width="43.28515625" style="3" customWidth="1"/>
    <col min="5123" max="5123" width="8" style="3" customWidth="1"/>
    <col min="5124" max="5124" width="13.85546875" style="3" customWidth="1"/>
    <col min="5125" max="5125" width="15.5703125" style="3" customWidth="1"/>
    <col min="5126" max="5126" width="8.5703125" style="3" customWidth="1"/>
    <col min="5127" max="5127" width="11" style="3" customWidth="1"/>
    <col min="5128" max="5128" width="12.5703125" style="3" customWidth="1"/>
    <col min="5129" max="5129" width="33.85546875" style="3" customWidth="1"/>
    <col min="5130" max="5130" width="9.28515625" style="3" customWidth="1"/>
    <col min="5131" max="5131" width="7.42578125" style="3" customWidth="1"/>
    <col min="5132" max="5132" width="9.28515625" style="3" customWidth="1"/>
    <col min="5133" max="5133" width="12.42578125" style="3" customWidth="1"/>
    <col min="5134" max="5134" width="8.85546875" style="3" customWidth="1"/>
    <col min="5135" max="5375" width="9.140625" style="3"/>
    <col min="5376" max="5376" width="10.85546875" style="3" bestFit="1" customWidth="1"/>
    <col min="5377" max="5377" width="5.85546875" style="3" customWidth="1"/>
    <col min="5378" max="5378" width="43.28515625" style="3" customWidth="1"/>
    <col min="5379" max="5379" width="8" style="3" customWidth="1"/>
    <col min="5380" max="5380" width="13.85546875" style="3" customWidth="1"/>
    <col min="5381" max="5381" width="15.5703125" style="3" customWidth="1"/>
    <col min="5382" max="5382" width="8.5703125" style="3" customWidth="1"/>
    <col min="5383" max="5383" width="11" style="3" customWidth="1"/>
    <col min="5384" max="5384" width="12.5703125" style="3" customWidth="1"/>
    <col min="5385" max="5385" width="33.85546875" style="3" customWidth="1"/>
    <col min="5386" max="5386" width="9.28515625" style="3" customWidth="1"/>
    <col min="5387" max="5387" width="7.42578125" style="3" customWidth="1"/>
    <col min="5388" max="5388" width="9.28515625" style="3" customWidth="1"/>
    <col min="5389" max="5389" width="12.42578125" style="3" customWidth="1"/>
    <col min="5390" max="5390" width="8.85546875" style="3" customWidth="1"/>
    <col min="5391" max="5631" width="9.140625" style="3"/>
    <col min="5632" max="5632" width="10.85546875" style="3" bestFit="1" customWidth="1"/>
    <col min="5633" max="5633" width="5.85546875" style="3" customWidth="1"/>
    <col min="5634" max="5634" width="43.28515625" style="3" customWidth="1"/>
    <col min="5635" max="5635" width="8" style="3" customWidth="1"/>
    <col min="5636" max="5636" width="13.85546875" style="3" customWidth="1"/>
    <col min="5637" max="5637" width="15.5703125" style="3" customWidth="1"/>
    <col min="5638" max="5638" width="8.5703125" style="3" customWidth="1"/>
    <col min="5639" max="5639" width="11" style="3" customWidth="1"/>
    <col min="5640" max="5640" width="12.5703125" style="3" customWidth="1"/>
    <col min="5641" max="5641" width="33.85546875" style="3" customWidth="1"/>
    <col min="5642" max="5642" width="9.28515625" style="3" customWidth="1"/>
    <col min="5643" max="5643" width="7.42578125" style="3" customWidth="1"/>
    <col min="5644" max="5644" width="9.28515625" style="3" customWidth="1"/>
    <col min="5645" max="5645" width="12.42578125" style="3" customWidth="1"/>
    <col min="5646" max="5646" width="8.85546875" style="3" customWidth="1"/>
    <col min="5647" max="5887" width="9.140625" style="3"/>
    <col min="5888" max="5888" width="10.85546875" style="3" bestFit="1" customWidth="1"/>
    <col min="5889" max="5889" width="5.85546875" style="3" customWidth="1"/>
    <col min="5890" max="5890" width="43.28515625" style="3" customWidth="1"/>
    <col min="5891" max="5891" width="8" style="3" customWidth="1"/>
    <col min="5892" max="5892" width="13.85546875" style="3" customWidth="1"/>
    <col min="5893" max="5893" width="15.5703125" style="3" customWidth="1"/>
    <col min="5894" max="5894" width="8.5703125" style="3" customWidth="1"/>
    <col min="5895" max="5895" width="11" style="3" customWidth="1"/>
    <col min="5896" max="5896" width="12.5703125" style="3" customWidth="1"/>
    <col min="5897" max="5897" width="33.85546875" style="3" customWidth="1"/>
    <col min="5898" max="5898" width="9.28515625" style="3" customWidth="1"/>
    <col min="5899" max="5899" width="7.42578125" style="3" customWidth="1"/>
    <col min="5900" max="5900" width="9.28515625" style="3" customWidth="1"/>
    <col min="5901" max="5901" width="12.42578125" style="3" customWidth="1"/>
    <col min="5902" max="5902" width="8.85546875" style="3" customWidth="1"/>
    <col min="5903" max="6143" width="9.140625" style="3"/>
    <col min="6144" max="6144" width="10.85546875" style="3" bestFit="1" customWidth="1"/>
    <col min="6145" max="6145" width="5.85546875" style="3" customWidth="1"/>
    <col min="6146" max="6146" width="43.28515625" style="3" customWidth="1"/>
    <col min="6147" max="6147" width="8" style="3" customWidth="1"/>
    <col min="6148" max="6148" width="13.85546875" style="3" customWidth="1"/>
    <col min="6149" max="6149" width="15.5703125" style="3" customWidth="1"/>
    <col min="6150" max="6150" width="8.5703125" style="3" customWidth="1"/>
    <col min="6151" max="6151" width="11" style="3" customWidth="1"/>
    <col min="6152" max="6152" width="12.5703125" style="3" customWidth="1"/>
    <col min="6153" max="6153" width="33.85546875" style="3" customWidth="1"/>
    <col min="6154" max="6154" width="9.28515625" style="3" customWidth="1"/>
    <col min="6155" max="6155" width="7.42578125" style="3" customWidth="1"/>
    <col min="6156" max="6156" width="9.28515625" style="3" customWidth="1"/>
    <col min="6157" max="6157" width="12.42578125" style="3" customWidth="1"/>
    <col min="6158" max="6158" width="8.85546875" style="3" customWidth="1"/>
    <col min="6159" max="6399" width="9.140625" style="3"/>
    <col min="6400" max="6400" width="10.85546875" style="3" bestFit="1" customWidth="1"/>
    <col min="6401" max="6401" width="5.85546875" style="3" customWidth="1"/>
    <col min="6402" max="6402" width="43.28515625" style="3" customWidth="1"/>
    <col min="6403" max="6403" width="8" style="3" customWidth="1"/>
    <col min="6404" max="6404" width="13.85546875" style="3" customWidth="1"/>
    <col min="6405" max="6405" width="15.5703125" style="3" customWidth="1"/>
    <col min="6406" max="6406" width="8.5703125" style="3" customWidth="1"/>
    <col min="6407" max="6407" width="11" style="3" customWidth="1"/>
    <col min="6408" max="6408" width="12.5703125" style="3" customWidth="1"/>
    <col min="6409" max="6409" width="33.85546875" style="3" customWidth="1"/>
    <col min="6410" max="6410" width="9.28515625" style="3" customWidth="1"/>
    <col min="6411" max="6411" width="7.42578125" style="3" customWidth="1"/>
    <col min="6412" max="6412" width="9.28515625" style="3" customWidth="1"/>
    <col min="6413" max="6413" width="12.42578125" style="3" customWidth="1"/>
    <col min="6414" max="6414" width="8.85546875" style="3" customWidth="1"/>
    <col min="6415" max="6655" width="9.140625" style="3"/>
    <col min="6656" max="6656" width="10.85546875" style="3" bestFit="1" customWidth="1"/>
    <col min="6657" max="6657" width="5.85546875" style="3" customWidth="1"/>
    <col min="6658" max="6658" width="43.28515625" style="3" customWidth="1"/>
    <col min="6659" max="6659" width="8" style="3" customWidth="1"/>
    <col min="6660" max="6660" width="13.85546875" style="3" customWidth="1"/>
    <col min="6661" max="6661" width="15.5703125" style="3" customWidth="1"/>
    <col min="6662" max="6662" width="8.5703125" style="3" customWidth="1"/>
    <col min="6663" max="6663" width="11" style="3" customWidth="1"/>
    <col min="6664" max="6664" width="12.5703125" style="3" customWidth="1"/>
    <col min="6665" max="6665" width="33.85546875" style="3" customWidth="1"/>
    <col min="6666" max="6666" width="9.28515625" style="3" customWidth="1"/>
    <col min="6667" max="6667" width="7.42578125" style="3" customWidth="1"/>
    <col min="6668" max="6668" width="9.28515625" style="3" customWidth="1"/>
    <col min="6669" max="6669" width="12.42578125" style="3" customWidth="1"/>
    <col min="6670" max="6670" width="8.85546875" style="3" customWidth="1"/>
    <col min="6671" max="6911" width="9.140625" style="3"/>
    <col min="6912" max="6912" width="10.85546875" style="3" bestFit="1" customWidth="1"/>
    <col min="6913" max="6913" width="5.85546875" style="3" customWidth="1"/>
    <col min="6914" max="6914" width="43.28515625" style="3" customWidth="1"/>
    <col min="6915" max="6915" width="8" style="3" customWidth="1"/>
    <col min="6916" max="6916" width="13.85546875" style="3" customWidth="1"/>
    <col min="6917" max="6917" width="15.5703125" style="3" customWidth="1"/>
    <col min="6918" max="6918" width="8.5703125" style="3" customWidth="1"/>
    <col min="6919" max="6919" width="11" style="3" customWidth="1"/>
    <col min="6920" max="6920" width="12.5703125" style="3" customWidth="1"/>
    <col min="6921" max="6921" width="33.85546875" style="3" customWidth="1"/>
    <col min="6922" max="6922" width="9.28515625" style="3" customWidth="1"/>
    <col min="6923" max="6923" width="7.42578125" style="3" customWidth="1"/>
    <col min="6924" max="6924" width="9.28515625" style="3" customWidth="1"/>
    <col min="6925" max="6925" width="12.42578125" style="3" customWidth="1"/>
    <col min="6926" max="6926" width="8.85546875" style="3" customWidth="1"/>
    <col min="6927" max="7167" width="9.140625" style="3"/>
    <col min="7168" max="7168" width="10.85546875" style="3" bestFit="1" customWidth="1"/>
    <col min="7169" max="7169" width="5.85546875" style="3" customWidth="1"/>
    <col min="7170" max="7170" width="43.28515625" style="3" customWidth="1"/>
    <col min="7171" max="7171" width="8" style="3" customWidth="1"/>
    <col min="7172" max="7172" width="13.85546875" style="3" customWidth="1"/>
    <col min="7173" max="7173" width="15.5703125" style="3" customWidth="1"/>
    <col min="7174" max="7174" width="8.5703125" style="3" customWidth="1"/>
    <col min="7175" max="7175" width="11" style="3" customWidth="1"/>
    <col min="7176" max="7176" width="12.5703125" style="3" customWidth="1"/>
    <col min="7177" max="7177" width="33.85546875" style="3" customWidth="1"/>
    <col min="7178" max="7178" width="9.28515625" style="3" customWidth="1"/>
    <col min="7179" max="7179" width="7.42578125" style="3" customWidth="1"/>
    <col min="7180" max="7180" width="9.28515625" style="3" customWidth="1"/>
    <col min="7181" max="7181" width="12.42578125" style="3" customWidth="1"/>
    <col min="7182" max="7182" width="8.85546875" style="3" customWidth="1"/>
    <col min="7183" max="7423" width="9.140625" style="3"/>
    <col min="7424" max="7424" width="10.85546875" style="3" bestFit="1" customWidth="1"/>
    <col min="7425" max="7425" width="5.85546875" style="3" customWidth="1"/>
    <col min="7426" max="7426" width="43.28515625" style="3" customWidth="1"/>
    <col min="7427" max="7427" width="8" style="3" customWidth="1"/>
    <col min="7428" max="7428" width="13.85546875" style="3" customWidth="1"/>
    <col min="7429" max="7429" width="15.5703125" style="3" customWidth="1"/>
    <col min="7430" max="7430" width="8.5703125" style="3" customWidth="1"/>
    <col min="7431" max="7431" width="11" style="3" customWidth="1"/>
    <col min="7432" max="7432" width="12.5703125" style="3" customWidth="1"/>
    <col min="7433" max="7433" width="33.85546875" style="3" customWidth="1"/>
    <col min="7434" max="7434" width="9.28515625" style="3" customWidth="1"/>
    <col min="7435" max="7435" width="7.42578125" style="3" customWidth="1"/>
    <col min="7436" max="7436" width="9.28515625" style="3" customWidth="1"/>
    <col min="7437" max="7437" width="12.42578125" style="3" customWidth="1"/>
    <col min="7438" max="7438" width="8.85546875" style="3" customWidth="1"/>
    <col min="7439" max="7679" width="9.140625" style="3"/>
    <col min="7680" max="7680" width="10.85546875" style="3" bestFit="1" customWidth="1"/>
    <col min="7681" max="7681" width="5.85546875" style="3" customWidth="1"/>
    <col min="7682" max="7682" width="43.28515625" style="3" customWidth="1"/>
    <col min="7683" max="7683" width="8" style="3" customWidth="1"/>
    <col min="7684" max="7684" width="13.85546875" style="3" customWidth="1"/>
    <col min="7685" max="7685" width="15.5703125" style="3" customWidth="1"/>
    <col min="7686" max="7686" width="8.5703125" style="3" customWidth="1"/>
    <col min="7687" max="7687" width="11" style="3" customWidth="1"/>
    <col min="7688" max="7688" width="12.5703125" style="3" customWidth="1"/>
    <col min="7689" max="7689" width="33.85546875" style="3" customWidth="1"/>
    <col min="7690" max="7690" width="9.28515625" style="3" customWidth="1"/>
    <col min="7691" max="7691" width="7.42578125" style="3" customWidth="1"/>
    <col min="7692" max="7692" width="9.28515625" style="3" customWidth="1"/>
    <col min="7693" max="7693" width="12.42578125" style="3" customWidth="1"/>
    <col min="7694" max="7694" width="8.85546875" style="3" customWidth="1"/>
    <col min="7695" max="7935" width="9.140625" style="3"/>
    <col min="7936" max="7936" width="10.85546875" style="3" bestFit="1" customWidth="1"/>
    <col min="7937" max="7937" width="5.85546875" style="3" customWidth="1"/>
    <col min="7938" max="7938" width="43.28515625" style="3" customWidth="1"/>
    <col min="7939" max="7939" width="8" style="3" customWidth="1"/>
    <col min="7940" max="7940" width="13.85546875" style="3" customWidth="1"/>
    <col min="7941" max="7941" width="15.5703125" style="3" customWidth="1"/>
    <col min="7942" max="7942" width="8.5703125" style="3" customWidth="1"/>
    <col min="7943" max="7943" width="11" style="3" customWidth="1"/>
    <col min="7944" max="7944" width="12.5703125" style="3" customWidth="1"/>
    <col min="7945" max="7945" width="33.85546875" style="3" customWidth="1"/>
    <col min="7946" max="7946" width="9.28515625" style="3" customWidth="1"/>
    <col min="7947" max="7947" width="7.42578125" style="3" customWidth="1"/>
    <col min="7948" max="7948" width="9.28515625" style="3" customWidth="1"/>
    <col min="7949" max="7949" width="12.42578125" style="3" customWidth="1"/>
    <col min="7950" max="7950" width="8.85546875" style="3" customWidth="1"/>
    <col min="7951" max="8191" width="9.140625" style="3"/>
    <col min="8192" max="8192" width="10.85546875" style="3" bestFit="1" customWidth="1"/>
    <col min="8193" max="8193" width="5.85546875" style="3" customWidth="1"/>
    <col min="8194" max="8194" width="43.28515625" style="3" customWidth="1"/>
    <col min="8195" max="8195" width="8" style="3" customWidth="1"/>
    <col min="8196" max="8196" width="13.85546875" style="3" customWidth="1"/>
    <col min="8197" max="8197" width="15.5703125" style="3" customWidth="1"/>
    <col min="8198" max="8198" width="8.5703125" style="3" customWidth="1"/>
    <col min="8199" max="8199" width="11" style="3" customWidth="1"/>
    <col min="8200" max="8200" width="12.5703125" style="3" customWidth="1"/>
    <col min="8201" max="8201" width="33.85546875" style="3" customWidth="1"/>
    <col min="8202" max="8202" width="9.28515625" style="3" customWidth="1"/>
    <col min="8203" max="8203" width="7.42578125" style="3" customWidth="1"/>
    <col min="8204" max="8204" width="9.28515625" style="3" customWidth="1"/>
    <col min="8205" max="8205" width="12.42578125" style="3" customWidth="1"/>
    <col min="8206" max="8206" width="8.85546875" style="3" customWidth="1"/>
    <col min="8207" max="8447" width="9.140625" style="3"/>
    <col min="8448" max="8448" width="10.85546875" style="3" bestFit="1" customWidth="1"/>
    <col min="8449" max="8449" width="5.85546875" style="3" customWidth="1"/>
    <col min="8450" max="8450" width="43.28515625" style="3" customWidth="1"/>
    <col min="8451" max="8451" width="8" style="3" customWidth="1"/>
    <col min="8452" max="8452" width="13.85546875" style="3" customWidth="1"/>
    <col min="8453" max="8453" width="15.5703125" style="3" customWidth="1"/>
    <col min="8454" max="8454" width="8.5703125" style="3" customWidth="1"/>
    <col min="8455" max="8455" width="11" style="3" customWidth="1"/>
    <col min="8456" max="8456" width="12.5703125" style="3" customWidth="1"/>
    <col min="8457" max="8457" width="33.85546875" style="3" customWidth="1"/>
    <col min="8458" max="8458" width="9.28515625" style="3" customWidth="1"/>
    <col min="8459" max="8459" width="7.42578125" style="3" customWidth="1"/>
    <col min="8460" max="8460" width="9.28515625" style="3" customWidth="1"/>
    <col min="8461" max="8461" width="12.42578125" style="3" customWidth="1"/>
    <col min="8462" max="8462" width="8.85546875" style="3" customWidth="1"/>
    <col min="8463" max="8703" width="9.140625" style="3"/>
    <col min="8704" max="8704" width="10.85546875" style="3" bestFit="1" customWidth="1"/>
    <col min="8705" max="8705" width="5.85546875" style="3" customWidth="1"/>
    <col min="8706" max="8706" width="43.28515625" style="3" customWidth="1"/>
    <col min="8707" max="8707" width="8" style="3" customWidth="1"/>
    <col min="8708" max="8708" width="13.85546875" style="3" customWidth="1"/>
    <col min="8709" max="8709" width="15.5703125" style="3" customWidth="1"/>
    <col min="8710" max="8710" width="8.5703125" style="3" customWidth="1"/>
    <col min="8711" max="8711" width="11" style="3" customWidth="1"/>
    <col min="8712" max="8712" width="12.5703125" style="3" customWidth="1"/>
    <col min="8713" max="8713" width="33.85546875" style="3" customWidth="1"/>
    <col min="8714" max="8714" width="9.28515625" style="3" customWidth="1"/>
    <col min="8715" max="8715" width="7.42578125" style="3" customWidth="1"/>
    <col min="8716" max="8716" width="9.28515625" style="3" customWidth="1"/>
    <col min="8717" max="8717" width="12.42578125" style="3" customWidth="1"/>
    <col min="8718" max="8718" width="8.85546875" style="3" customWidth="1"/>
    <col min="8719" max="8959" width="9.140625" style="3"/>
    <col min="8960" max="8960" width="10.85546875" style="3" bestFit="1" customWidth="1"/>
    <col min="8961" max="8961" width="5.85546875" style="3" customWidth="1"/>
    <col min="8962" max="8962" width="43.28515625" style="3" customWidth="1"/>
    <col min="8963" max="8963" width="8" style="3" customWidth="1"/>
    <col min="8964" max="8964" width="13.85546875" style="3" customWidth="1"/>
    <col min="8965" max="8965" width="15.5703125" style="3" customWidth="1"/>
    <col min="8966" max="8966" width="8.5703125" style="3" customWidth="1"/>
    <col min="8967" max="8967" width="11" style="3" customWidth="1"/>
    <col min="8968" max="8968" width="12.5703125" style="3" customWidth="1"/>
    <col min="8969" max="8969" width="33.85546875" style="3" customWidth="1"/>
    <col min="8970" max="8970" width="9.28515625" style="3" customWidth="1"/>
    <col min="8971" max="8971" width="7.42578125" style="3" customWidth="1"/>
    <col min="8972" max="8972" width="9.28515625" style="3" customWidth="1"/>
    <col min="8973" max="8973" width="12.42578125" style="3" customWidth="1"/>
    <col min="8974" max="8974" width="8.85546875" style="3" customWidth="1"/>
    <col min="8975" max="9215" width="9.140625" style="3"/>
    <col min="9216" max="9216" width="10.85546875" style="3" bestFit="1" customWidth="1"/>
    <col min="9217" max="9217" width="5.85546875" style="3" customWidth="1"/>
    <col min="9218" max="9218" width="43.28515625" style="3" customWidth="1"/>
    <col min="9219" max="9219" width="8" style="3" customWidth="1"/>
    <col min="9220" max="9220" width="13.85546875" style="3" customWidth="1"/>
    <col min="9221" max="9221" width="15.5703125" style="3" customWidth="1"/>
    <col min="9222" max="9222" width="8.5703125" style="3" customWidth="1"/>
    <col min="9223" max="9223" width="11" style="3" customWidth="1"/>
    <col min="9224" max="9224" width="12.5703125" style="3" customWidth="1"/>
    <col min="9225" max="9225" width="33.85546875" style="3" customWidth="1"/>
    <col min="9226" max="9226" width="9.28515625" style="3" customWidth="1"/>
    <col min="9227" max="9227" width="7.42578125" style="3" customWidth="1"/>
    <col min="9228" max="9228" width="9.28515625" style="3" customWidth="1"/>
    <col min="9229" max="9229" width="12.42578125" style="3" customWidth="1"/>
    <col min="9230" max="9230" width="8.85546875" style="3" customWidth="1"/>
    <col min="9231" max="9471" width="9.140625" style="3"/>
    <col min="9472" max="9472" width="10.85546875" style="3" bestFit="1" customWidth="1"/>
    <col min="9473" max="9473" width="5.85546875" style="3" customWidth="1"/>
    <col min="9474" max="9474" width="43.28515625" style="3" customWidth="1"/>
    <col min="9475" max="9475" width="8" style="3" customWidth="1"/>
    <col min="9476" max="9476" width="13.85546875" style="3" customWidth="1"/>
    <col min="9477" max="9477" width="15.5703125" style="3" customWidth="1"/>
    <col min="9478" max="9478" width="8.5703125" style="3" customWidth="1"/>
    <col min="9479" max="9479" width="11" style="3" customWidth="1"/>
    <col min="9480" max="9480" width="12.5703125" style="3" customWidth="1"/>
    <col min="9481" max="9481" width="33.85546875" style="3" customWidth="1"/>
    <col min="9482" max="9482" width="9.28515625" style="3" customWidth="1"/>
    <col min="9483" max="9483" width="7.42578125" style="3" customWidth="1"/>
    <col min="9484" max="9484" width="9.28515625" style="3" customWidth="1"/>
    <col min="9485" max="9485" width="12.42578125" style="3" customWidth="1"/>
    <col min="9486" max="9486" width="8.85546875" style="3" customWidth="1"/>
    <col min="9487" max="9727" width="9.140625" style="3"/>
    <col min="9728" max="9728" width="10.85546875" style="3" bestFit="1" customWidth="1"/>
    <col min="9729" max="9729" width="5.85546875" style="3" customWidth="1"/>
    <col min="9730" max="9730" width="43.28515625" style="3" customWidth="1"/>
    <col min="9731" max="9731" width="8" style="3" customWidth="1"/>
    <col min="9732" max="9732" width="13.85546875" style="3" customWidth="1"/>
    <col min="9733" max="9733" width="15.5703125" style="3" customWidth="1"/>
    <col min="9734" max="9734" width="8.5703125" style="3" customWidth="1"/>
    <col min="9735" max="9735" width="11" style="3" customWidth="1"/>
    <col min="9736" max="9736" width="12.5703125" style="3" customWidth="1"/>
    <col min="9737" max="9737" width="33.85546875" style="3" customWidth="1"/>
    <col min="9738" max="9738" width="9.28515625" style="3" customWidth="1"/>
    <col min="9739" max="9739" width="7.42578125" style="3" customWidth="1"/>
    <col min="9740" max="9740" width="9.28515625" style="3" customWidth="1"/>
    <col min="9741" max="9741" width="12.42578125" style="3" customWidth="1"/>
    <col min="9742" max="9742" width="8.85546875" style="3" customWidth="1"/>
    <col min="9743" max="9983" width="9.140625" style="3"/>
    <col min="9984" max="9984" width="10.85546875" style="3" bestFit="1" customWidth="1"/>
    <col min="9985" max="9985" width="5.85546875" style="3" customWidth="1"/>
    <col min="9986" max="9986" width="43.28515625" style="3" customWidth="1"/>
    <col min="9987" max="9987" width="8" style="3" customWidth="1"/>
    <col min="9988" max="9988" width="13.85546875" style="3" customWidth="1"/>
    <col min="9989" max="9989" width="15.5703125" style="3" customWidth="1"/>
    <col min="9990" max="9990" width="8.5703125" style="3" customWidth="1"/>
    <col min="9991" max="9991" width="11" style="3" customWidth="1"/>
    <col min="9992" max="9992" width="12.5703125" style="3" customWidth="1"/>
    <col min="9993" max="9993" width="33.85546875" style="3" customWidth="1"/>
    <col min="9994" max="9994" width="9.28515625" style="3" customWidth="1"/>
    <col min="9995" max="9995" width="7.42578125" style="3" customWidth="1"/>
    <col min="9996" max="9996" width="9.28515625" style="3" customWidth="1"/>
    <col min="9997" max="9997" width="12.42578125" style="3" customWidth="1"/>
    <col min="9998" max="9998" width="8.85546875" style="3" customWidth="1"/>
    <col min="9999" max="10239" width="9.140625" style="3"/>
    <col min="10240" max="10240" width="10.85546875" style="3" bestFit="1" customWidth="1"/>
    <col min="10241" max="10241" width="5.85546875" style="3" customWidth="1"/>
    <col min="10242" max="10242" width="43.28515625" style="3" customWidth="1"/>
    <col min="10243" max="10243" width="8" style="3" customWidth="1"/>
    <col min="10244" max="10244" width="13.85546875" style="3" customWidth="1"/>
    <col min="10245" max="10245" width="15.5703125" style="3" customWidth="1"/>
    <col min="10246" max="10246" width="8.5703125" style="3" customWidth="1"/>
    <col min="10247" max="10247" width="11" style="3" customWidth="1"/>
    <col min="10248" max="10248" width="12.5703125" style="3" customWidth="1"/>
    <col min="10249" max="10249" width="33.85546875" style="3" customWidth="1"/>
    <col min="10250" max="10250" width="9.28515625" style="3" customWidth="1"/>
    <col min="10251" max="10251" width="7.42578125" style="3" customWidth="1"/>
    <col min="10252" max="10252" width="9.28515625" style="3" customWidth="1"/>
    <col min="10253" max="10253" width="12.42578125" style="3" customWidth="1"/>
    <col min="10254" max="10254" width="8.85546875" style="3" customWidth="1"/>
    <col min="10255" max="10495" width="9.140625" style="3"/>
    <col min="10496" max="10496" width="10.85546875" style="3" bestFit="1" customWidth="1"/>
    <col min="10497" max="10497" width="5.85546875" style="3" customWidth="1"/>
    <col min="10498" max="10498" width="43.28515625" style="3" customWidth="1"/>
    <col min="10499" max="10499" width="8" style="3" customWidth="1"/>
    <col min="10500" max="10500" width="13.85546875" style="3" customWidth="1"/>
    <col min="10501" max="10501" width="15.5703125" style="3" customWidth="1"/>
    <col min="10502" max="10502" width="8.5703125" style="3" customWidth="1"/>
    <col min="10503" max="10503" width="11" style="3" customWidth="1"/>
    <col min="10504" max="10504" width="12.5703125" style="3" customWidth="1"/>
    <col min="10505" max="10505" width="33.85546875" style="3" customWidth="1"/>
    <col min="10506" max="10506" width="9.28515625" style="3" customWidth="1"/>
    <col min="10507" max="10507" width="7.42578125" style="3" customWidth="1"/>
    <col min="10508" max="10508" width="9.28515625" style="3" customWidth="1"/>
    <col min="10509" max="10509" width="12.42578125" style="3" customWidth="1"/>
    <col min="10510" max="10510" width="8.85546875" style="3" customWidth="1"/>
    <col min="10511" max="10751" width="9.140625" style="3"/>
    <col min="10752" max="10752" width="10.85546875" style="3" bestFit="1" customWidth="1"/>
    <col min="10753" max="10753" width="5.85546875" style="3" customWidth="1"/>
    <col min="10754" max="10754" width="43.28515625" style="3" customWidth="1"/>
    <col min="10755" max="10755" width="8" style="3" customWidth="1"/>
    <col min="10756" max="10756" width="13.85546875" style="3" customWidth="1"/>
    <col min="10757" max="10757" width="15.5703125" style="3" customWidth="1"/>
    <col min="10758" max="10758" width="8.5703125" style="3" customWidth="1"/>
    <col min="10759" max="10759" width="11" style="3" customWidth="1"/>
    <col min="10760" max="10760" width="12.5703125" style="3" customWidth="1"/>
    <col min="10761" max="10761" width="33.85546875" style="3" customWidth="1"/>
    <col min="10762" max="10762" width="9.28515625" style="3" customWidth="1"/>
    <col min="10763" max="10763" width="7.42578125" style="3" customWidth="1"/>
    <col min="10764" max="10764" width="9.28515625" style="3" customWidth="1"/>
    <col min="10765" max="10765" width="12.42578125" style="3" customWidth="1"/>
    <col min="10766" max="10766" width="8.85546875" style="3" customWidth="1"/>
    <col min="10767" max="11007" width="9.140625" style="3"/>
    <col min="11008" max="11008" width="10.85546875" style="3" bestFit="1" customWidth="1"/>
    <col min="11009" max="11009" width="5.85546875" style="3" customWidth="1"/>
    <col min="11010" max="11010" width="43.28515625" style="3" customWidth="1"/>
    <col min="11011" max="11011" width="8" style="3" customWidth="1"/>
    <col min="11012" max="11012" width="13.85546875" style="3" customWidth="1"/>
    <col min="11013" max="11013" width="15.5703125" style="3" customWidth="1"/>
    <col min="11014" max="11014" width="8.5703125" style="3" customWidth="1"/>
    <col min="11015" max="11015" width="11" style="3" customWidth="1"/>
    <col min="11016" max="11016" width="12.5703125" style="3" customWidth="1"/>
    <col min="11017" max="11017" width="33.85546875" style="3" customWidth="1"/>
    <col min="11018" max="11018" width="9.28515625" style="3" customWidth="1"/>
    <col min="11019" max="11019" width="7.42578125" style="3" customWidth="1"/>
    <col min="11020" max="11020" width="9.28515625" style="3" customWidth="1"/>
    <col min="11021" max="11021" width="12.42578125" style="3" customWidth="1"/>
    <col min="11022" max="11022" width="8.85546875" style="3" customWidth="1"/>
    <col min="11023" max="11263" width="9.140625" style="3"/>
    <col min="11264" max="11264" width="10.85546875" style="3" bestFit="1" customWidth="1"/>
    <col min="11265" max="11265" width="5.85546875" style="3" customWidth="1"/>
    <col min="11266" max="11266" width="43.28515625" style="3" customWidth="1"/>
    <col min="11267" max="11267" width="8" style="3" customWidth="1"/>
    <col min="11268" max="11268" width="13.85546875" style="3" customWidth="1"/>
    <col min="11269" max="11269" width="15.5703125" style="3" customWidth="1"/>
    <col min="11270" max="11270" width="8.5703125" style="3" customWidth="1"/>
    <col min="11271" max="11271" width="11" style="3" customWidth="1"/>
    <col min="11272" max="11272" width="12.5703125" style="3" customWidth="1"/>
    <col min="11273" max="11273" width="33.85546875" style="3" customWidth="1"/>
    <col min="11274" max="11274" width="9.28515625" style="3" customWidth="1"/>
    <col min="11275" max="11275" width="7.42578125" style="3" customWidth="1"/>
    <col min="11276" max="11276" width="9.28515625" style="3" customWidth="1"/>
    <col min="11277" max="11277" width="12.42578125" style="3" customWidth="1"/>
    <col min="11278" max="11278" width="8.85546875" style="3" customWidth="1"/>
    <col min="11279" max="11519" width="9.140625" style="3"/>
    <col min="11520" max="11520" width="10.85546875" style="3" bestFit="1" customWidth="1"/>
    <col min="11521" max="11521" width="5.85546875" style="3" customWidth="1"/>
    <col min="11522" max="11522" width="43.28515625" style="3" customWidth="1"/>
    <col min="11523" max="11523" width="8" style="3" customWidth="1"/>
    <col min="11524" max="11524" width="13.85546875" style="3" customWidth="1"/>
    <col min="11525" max="11525" width="15.5703125" style="3" customWidth="1"/>
    <col min="11526" max="11526" width="8.5703125" style="3" customWidth="1"/>
    <col min="11527" max="11527" width="11" style="3" customWidth="1"/>
    <col min="11528" max="11528" width="12.5703125" style="3" customWidth="1"/>
    <col min="11529" max="11529" width="33.85546875" style="3" customWidth="1"/>
    <col min="11530" max="11530" width="9.28515625" style="3" customWidth="1"/>
    <col min="11531" max="11531" width="7.42578125" style="3" customWidth="1"/>
    <col min="11532" max="11532" width="9.28515625" style="3" customWidth="1"/>
    <col min="11533" max="11533" width="12.42578125" style="3" customWidth="1"/>
    <col min="11534" max="11534" width="8.85546875" style="3" customWidth="1"/>
    <col min="11535" max="11775" width="9.140625" style="3"/>
    <col min="11776" max="11776" width="10.85546875" style="3" bestFit="1" customWidth="1"/>
    <col min="11777" max="11777" width="5.85546875" style="3" customWidth="1"/>
    <col min="11778" max="11778" width="43.28515625" style="3" customWidth="1"/>
    <col min="11779" max="11779" width="8" style="3" customWidth="1"/>
    <col min="11780" max="11780" width="13.85546875" style="3" customWidth="1"/>
    <col min="11781" max="11781" width="15.5703125" style="3" customWidth="1"/>
    <col min="11782" max="11782" width="8.5703125" style="3" customWidth="1"/>
    <col min="11783" max="11783" width="11" style="3" customWidth="1"/>
    <col min="11784" max="11784" width="12.5703125" style="3" customWidth="1"/>
    <col min="11785" max="11785" width="33.85546875" style="3" customWidth="1"/>
    <col min="11786" max="11786" width="9.28515625" style="3" customWidth="1"/>
    <col min="11787" max="11787" width="7.42578125" style="3" customWidth="1"/>
    <col min="11788" max="11788" width="9.28515625" style="3" customWidth="1"/>
    <col min="11789" max="11789" width="12.42578125" style="3" customWidth="1"/>
    <col min="11790" max="11790" width="8.85546875" style="3" customWidth="1"/>
    <col min="11791" max="12031" width="9.140625" style="3"/>
    <col min="12032" max="12032" width="10.85546875" style="3" bestFit="1" customWidth="1"/>
    <col min="12033" max="12033" width="5.85546875" style="3" customWidth="1"/>
    <col min="12034" max="12034" width="43.28515625" style="3" customWidth="1"/>
    <col min="12035" max="12035" width="8" style="3" customWidth="1"/>
    <col min="12036" max="12036" width="13.85546875" style="3" customWidth="1"/>
    <col min="12037" max="12037" width="15.5703125" style="3" customWidth="1"/>
    <col min="12038" max="12038" width="8.5703125" style="3" customWidth="1"/>
    <col min="12039" max="12039" width="11" style="3" customWidth="1"/>
    <col min="12040" max="12040" width="12.5703125" style="3" customWidth="1"/>
    <col min="12041" max="12041" width="33.85546875" style="3" customWidth="1"/>
    <col min="12042" max="12042" width="9.28515625" style="3" customWidth="1"/>
    <col min="12043" max="12043" width="7.42578125" style="3" customWidth="1"/>
    <col min="12044" max="12044" width="9.28515625" style="3" customWidth="1"/>
    <col min="12045" max="12045" width="12.42578125" style="3" customWidth="1"/>
    <col min="12046" max="12046" width="8.85546875" style="3" customWidth="1"/>
    <col min="12047" max="12287" width="9.140625" style="3"/>
    <col min="12288" max="12288" width="10.85546875" style="3" bestFit="1" customWidth="1"/>
    <col min="12289" max="12289" width="5.85546875" style="3" customWidth="1"/>
    <col min="12290" max="12290" width="43.28515625" style="3" customWidth="1"/>
    <col min="12291" max="12291" width="8" style="3" customWidth="1"/>
    <col min="12292" max="12292" width="13.85546875" style="3" customWidth="1"/>
    <col min="12293" max="12293" width="15.5703125" style="3" customWidth="1"/>
    <col min="12294" max="12294" width="8.5703125" style="3" customWidth="1"/>
    <col min="12295" max="12295" width="11" style="3" customWidth="1"/>
    <col min="12296" max="12296" width="12.5703125" style="3" customWidth="1"/>
    <col min="12297" max="12297" width="33.85546875" style="3" customWidth="1"/>
    <col min="12298" max="12298" width="9.28515625" style="3" customWidth="1"/>
    <col min="12299" max="12299" width="7.42578125" style="3" customWidth="1"/>
    <col min="12300" max="12300" width="9.28515625" style="3" customWidth="1"/>
    <col min="12301" max="12301" width="12.42578125" style="3" customWidth="1"/>
    <col min="12302" max="12302" width="8.85546875" style="3" customWidth="1"/>
    <col min="12303" max="12543" width="9.140625" style="3"/>
    <col min="12544" max="12544" width="10.85546875" style="3" bestFit="1" customWidth="1"/>
    <col min="12545" max="12545" width="5.85546875" style="3" customWidth="1"/>
    <col min="12546" max="12546" width="43.28515625" style="3" customWidth="1"/>
    <col min="12547" max="12547" width="8" style="3" customWidth="1"/>
    <col min="12548" max="12548" width="13.85546875" style="3" customWidth="1"/>
    <col min="12549" max="12549" width="15.5703125" style="3" customWidth="1"/>
    <col min="12550" max="12550" width="8.5703125" style="3" customWidth="1"/>
    <col min="12551" max="12551" width="11" style="3" customWidth="1"/>
    <col min="12552" max="12552" width="12.5703125" style="3" customWidth="1"/>
    <col min="12553" max="12553" width="33.85546875" style="3" customWidth="1"/>
    <col min="12554" max="12554" width="9.28515625" style="3" customWidth="1"/>
    <col min="12555" max="12555" width="7.42578125" style="3" customWidth="1"/>
    <col min="12556" max="12556" width="9.28515625" style="3" customWidth="1"/>
    <col min="12557" max="12557" width="12.42578125" style="3" customWidth="1"/>
    <col min="12558" max="12558" width="8.85546875" style="3" customWidth="1"/>
    <col min="12559" max="12799" width="9.140625" style="3"/>
    <col min="12800" max="12800" width="10.85546875" style="3" bestFit="1" customWidth="1"/>
    <col min="12801" max="12801" width="5.85546875" style="3" customWidth="1"/>
    <col min="12802" max="12802" width="43.28515625" style="3" customWidth="1"/>
    <col min="12803" max="12803" width="8" style="3" customWidth="1"/>
    <col min="12804" max="12804" width="13.85546875" style="3" customWidth="1"/>
    <col min="12805" max="12805" width="15.5703125" style="3" customWidth="1"/>
    <col min="12806" max="12806" width="8.5703125" style="3" customWidth="1"/>
    <col min="12807" max="12807" width="11" style="3" customWidth="1"/>
    <col min="12808" max="12808" width="12.5703125" style="3" customWidth="1"/>
    <col min="12809" max="12809" width="33.85546875" style="3" customWidth="1"/>
    <col min="12810" max="12810" width="9.28515625" style="3" customWidth="1"/>
    <col min="12811" max="12811" width="7.42578125" style="3" customWidth="1"/>
    <col min="12812" max="12812" width="9.28515625" style="3" customWidth="1"/>
    <col min="12813" max="12813" width="12.42578125" style="3" customWidth="1"/>
    <col min="12814" max="12814" width="8.85546875" style="3" customWidth="1"/>
    <col min="12815" max="13055" width="9.140625" style="3"/>
    <col min="13056" max="13056" width="10.85546875" style="3" bestFit="1" customWidth="1"/>
    <col min="13057" max="13057" width="5.85546875" style="3" customWidth="1"/>
    <col min="13058" max="13058" width="43.28515625" style="3" customWidth="1"/>
    <col min="13059" max="13059" width="8" style="3" customWidth="1"/>
    <col min="13060" max="13060" width="13.85546875" style="3" customWidth="1"/>
    <col min="13061" max="13061" width="15.5703125" style="3" customWidth="1"/>
    <col min="13062" max="13062" width="8.5703125" style="3" customWidth="1"/>
    <col min="13063" max="13063" width="11" style="3" customWidth="1"/>
    <col min="13064" max="13064" width="12.5703125" style="3" customWidth="1"/>
    <col min="13065" max="13065" width="33.85546875" style="3" customWidth="1"/>
    <col min="13066" max="13066" width="9.28515625" style="3" customWidth="1"/>
    <col min="13067" max="13067" width="7.42578125" style="3" customWidth="1"/>
    <col min="13068" max="13068" width="9.28515625" style="3" customWidth="1"/>
    <col min="13069" max="13069" width="12.42578125" style="3" customWidth="1"/>
    <col min="13070" max="13070" width="8.85546875" style="3" customWidth="1"/>
    <col min="13071" max="13311" width="9.140625" style="3"/>
    <col min="13312" max="13312" width="10.85546875" style="3" bestFit="1" customWidth="1"/>
    <col min="13313" max="13313" width="5.85546875" style="3" customWidth="1"/>
    <col min="13314" max="13314" width="43.28515625" style="3" customWidth="1"/>
    <col min="13315" max="13315" width="8" style="3" customWidth="1"/>
    <col min="13316" max="13316" width="13.85546875" style="3" customWidth="1"/>
    <col min="13317" max="13317" width="15.5703125" style="3" customWidth="1"/>
    <col min="13318" max="13318" width="8.5703125" style="3" customWidth="1"/>
    <col min="13319" max="13319" width="11" style="3" customWidth="1"/>
    <col min="13320" max="13320" width="12.5703125" style="3" customWidth="1"/>
    <col min="13321" max="13321" width="33.85546875" style="3" customWidth="1"/>
    <col min="13322" max="13322" width="9.28515625" style="3" customWidth="1"/>
    <col min="13323" max="13323" width="7.42578125" style="3" customWidth="1"/>
    <col min="13324" max="13324" width="9.28515625" style="3" customWidth="1"/>
    <col min="13325" max="13325" width="12.42578125" style="3" customWidth="1"/>
    <col min="13326" max="13326" width="8.85546875" style="3" customWidth="1"/>
    <col min="13327" max="13567" width="9.140625" style="3"/>
    <col min="13568" max="13568" width="10.85546875" style="3" bestFit="1" customWidth="1"/>
    <col min="13569" max="13569" width="5.85546875" style="3" customWidth="1"/>
    <col min="13570" max="13570" width="43.28515625" style="3" customWidth="1"/>
    <col min="13571" max="13571" width="8" style="3" customWidth="1"/>
    <col min="13572" max="13572" width="13.85546875" style="3" customWidth="1"/>
    <col min="13573" max="13573" width="15.5703125" style="3" customWidth="1"/>
    <col min="13574" max="13574" width="8.5703125" style="3" customWidth="1"/>
    <col min="13575" max="13575" width="11" style="3" customWidth="1"/>
    <col min="13576" max="13576" width="12.5703125" style="3" customWidth="1"/>
    <col min="13577" max="13577" width="33.85546875" style="3" customWidth="1"/>
    <col min="13578" max="13578" width="9.28515625" style="3" customWidth="1"/>
    <col min="13579" max="13579" width="7.42578125" style="3" customWidth="1"/>
    <col min="13580" max="13580" width="9.28515625" style="3" customWidth="1"/>
    <col min="13581" max="13581" width="12.42578125" style="3" customWidth="1"/>
    <col min="13582" max="13582" width="8.85546875" style="3" customWidth="1"/>
    <col min="13583" max="13823" width="9.140625" style="3"/>
    <col min="13824" max="13824" width="10.85546875" style="3" bestFit="1" customWidth="1"/>
    <col min="13825" max="13825" width="5.85546875" style="3" customWidth="1"/>
    <col min="13826" max="13826" width="43.28515625" style="3" customWidth="1"/>
    <col min="13827" max="13827" width="8" style="3" customWidth="1"/>
    <col min="13828" max="13828" width="13.85546875" style="3" customWidth="1"/>
    <col min="13829" max="13829" width="15.5703125" style="3" customWidth="1"/>
    <col min="13830" max="13830" width="8.5703125" style="3" customWidth="1"/>
    <col min="13831" max="13831" width="11" style="3" customWidth="1"/>
    <col min="13832" max="13832" width="12.5703125" style="3" customWidth="1"/>
    <col min="13833" max="13833" width="33.85546875" style="3" customWidth="1"/>
    <col min="13834" max="13834" width="9.28515625" style="3" customWidth="1"/>
    <col min="13835" max="13835" width="7.42578125" style="3" customWidth="1"/>
    <col min="13836" max="13836" width="9.28515625" style="3" customWidth="1"/>
    <col min="13837" max="13837" width="12.42578125" style="3" customWidth="1"/>
    <col min="13838" max="13838" width="8.85546875" style="3" customWidth="1"/>
    <col min="13839" max="14079" width="9.140625" style="3"/>
    <col min="14080" max="14080" width="10.85546875" style="3" bestFit="1" customWidth="1"/>
    <col min="14081" max="14081" width="5.85546875" style="3" customWidth="1"/>
    <col min="14082" max="14082" width="43.28515625" style="3" customWidth="1"/>
    <col min="14083" max="14083" width="8" style="3" customWidth="1"/>
    <col min="14084" max="14084" width="13.85546875" style="3" customWidth="1"/>
    <col min="14085" max="14085" width="15.5703125" style="3" customWidth="1"/>
    <col min="14086" max="14086" width="8.5703125" style="3" customWidth="1"/>
    <col min="14087" max="14087" width="11" style="3" customWidth="1"/>
    <col min="14088" max="14088" width="12.5703125" style="3" customWidth="1"/>
    <col min="14089" max="14089" width="33.85546875" style="3" customWidth="1"/>
    <col min="14090" max="14090" width="9.28515625" style="3" customWidth="1"/>
    <col min="14091" max="14091" width="7.42578125" style="3" customWidth="1"/>
    <col min="14092" max="14092" width="9.28515625" style="3" customWidth="1"/>
    <col min="14093" max="14093" width="12.42578125" style="3" customWidth="1"/>
    <col min="14094" max="14094" width="8.85546875" style="3" customWidth="1"/>
    <col min="14095" max="14335" width="9.140625" style="3"/>
    <col min="14336" max="14336" width="10.85546875" style="3" bestFit="1" customWidth="1"/>
    <col min="14337" max="14337" width="5.85546875" style="3" customWidth="1"/>
    <col min="14338" max="14338" width="43.28515625" style="3" customWidth="1"/>
    <col min="14339" max="14339" width="8" style="3" customWidth="1"/>
    <col min="14340" max="14340" width="13.85546875" style="3" customWidth="1"/>
    <col min="14341" max="14341" width="15.5703125" style="3" customWidth="1"/>
    <col min="14342" max="14342" width="8.5703125" style="3" customWidth="1"/>
    <col min="14343" max="14343" width="11" style="3" customWidth="1"/>
    <col min="14344" max="14344" width="12.5703125" style="3" customWidth="1"/>
    <col min="14345" max="14345" width="33.85546875" style="3" customWidth="1"/>
    <col min="14346" max="14346" width="9.28515625" style="3" customWidth="1"/>
    <col min="14347" max="14347" width="7.42578125" style="3" customWidth="1"/>
    <col min="14348" max="14348" width="9.28515625" style="3" customWidth="1"/>
    <col min="14349" max="14349" width="12.42578125" style="3" customWidth="1"/>
    <col min="14350" max="14350" width="8.85546875" style="3" customWidth="1"/>
    <col min="14351" max="14591" width="9.140625" style="3"/>
    <col min="14592" max="14592" width="10.85546875" style="3" bestFit="1" customWidth="1"/>
    <col min="14593" max="14593" width="5.85546875" style="3" customWidth="1"/>
    <col min="14594" max="14594" width="43.28515625" style="3" customWidth="1"/>
    <col min="14595" max="14595" width="8" style="3" customWidth="1"/>
    <col min="14596" max="14596" width="13.85546875" style="3" customWidth="1"/>
    <col min="14597" max="14597" width="15.5703125" style="3" customWidth="1"/>
    <col min="14598" max="14598" width="8.5703125" style="3" customWidth="1"/>
    <col min="14599" max="14599" width="11" style="3" customWidth="1"/>
    <col min="14600" max="14600" width="12.5703125" style="3" customWidth="1"/>
    <col min="14601" max="14601" width="33.85546875" style="3" customWidth="1"/>
    <col min="14602" max="14602" width="9.28515625" style="3" customWidth="1"/>
    <col min="14603" max="14603" width="7.42578125" style="3" customWidth="1"/>
    <col min="14604" max="14604" width="9.28515625" style="3" customWidth="1"/>
    <col min="14605" max="14605" width="12.42578125" style="3" customWidth="1"/>
    <col min="14606" max="14606" width="8.85546875" style="3" customWidth="1"/>
    <col min="14607" max="14847" width="9.140625" style="3"/>
    <col min="14848" max="14848" width="10.85546875" style="3" bestFit="1" customWidth="1"/>
    <col min="14849" max="14849" width="5.85546875" style="3" customWidth="1"/>
    <col min="14850" max="14850" width="43.28515625" style="3" customWidth="1"/>
    <col min="14851" max="14851" width="8" style="3" customWidth="1"/>
    <col min="14852" max="14852" width="13.85546875" style="3" customWidth="1"/>
    <col min="14853" max="14853" width="15.5703125" style="3" customWidth="1"/>
    <col min="14854" max="14854" width="8.5703125" style="3" customWidth="1"/>
    <col min="14855" max="14855" width="11" style="3" customWidth="1"/>
    <col min="14856" max="14856" width="12.5703125" style="3" customWidth="1"/>
    <col min="14857" max="14857" width="33.85546875" style="3" customWidth="1"/>
    <col min="14858" max="14858" width="9.28515625" style="3" customWidth="1"/>
    <col min="14859" max="14859" width="7.42578125" style="3" customWidth="1"/>
    <col min="14860" max="14860" width="9.28515625" style="3" customWidth="1"/>
    <col min="14861" max="14861" width="12.42578125" style="3" customWidth="1"/>
    <col min="14862" max="14862" width="8.85546875" style="3" customWidth="1"/>
    <col min="14863" max="15103" width="9.140625" style="3"/>
    <col min="15104" max="15104" width="10.85546875" style="3" bestFit="1" customWidth="1"/>
    <col min="15105" max="15105" width="5.85546875" style="3" customWidth="1"/>
    <col min="15106" max="15106" width="43.28515625" style="3" customWidth="1"/>
    <col min="15107" max="15107" width="8" style="3" customWidth="1"/>
    <col min="15108" max="15108" width="13.85546875" style="3" customWidth="1"/>
    <col min="15109" max="15109" width="15.5703125" style="3" customWidth="1"/>
    <col min="15110" max="15110" width="8.5703125" style="3" customWidth="1"/>
    <col min="15111" max="15111" width="11" style="3" customWidth="1"/>
    <col min="15112" max="15112" width="12.5703125" style="3" customWidth="1"/>
    <col min="15113" max="15113" width="33.85546875" style="3" customWidth="1"/>
    <col min="15114" max="15114" width="9.28515625" style="3" customWidth="1"/>
    <col min="15115" max="15115" width="7.42578125" style="3" customWidth="1"/>
    <col min="15116" max="15116" width="9.28515625" style="3" customWidth="1"/>
    <col min="15117" max="15117" width="12.42578125" style="3" customWidth="1"/>
    <col min="15118" max="15118" width="8.85546875" style="3" customWidth="1"/>
    <col min="15119" max="15359" width="9.140625" style="3"/>
    <col min="15360" max="15360" width="10.85546875" style="3" bestFit="1" customWidth="1"/>
    <col min="15361" max="15361" width="5.85546875" style="3" customWidth="1"/>
    <col min="15362" max="15362" width="43.28515625" style="3" customWidth="1"/>
    <col min="15363" max="15363" width="8" style="3" customWidth="1"/>
    <col min="15364" max="15364" width="13.85546875" style="3" customWidth="1"/>
    <col min="15365" max="15365" width="15.5703125" style="3" customWidth="1"/>
    <col min="15366" max="15366" width="8.5703125" style="3" customWidth="1"/>
    <col min="15367" max="15367" width="11" style="3" customWidth="1"/>
    <col min="15368" max="15368" width="12.5703125" style="3" customWidth="1"/>
    <col min="15369" max="15369" width="33.85546875" style="3" customWidth="1"/>
    <col min="15370" max="15370" width="9.28515625" style="3" customWidth="1"/>
    <col min="15371" max="15371" width="7.42578125" style="3" customWidth="1"/>
    <col min="15372" max="15372" width="9.28515625" style="3" customWidth="1"/>
    <col min="15373" max="15373" width="12.42578125" style="3" customWidth="1"/>
    <col min="15374" max="15374" width="8.85546875" style="3" customWidth="1"/>
    <col min="15375" max="15615" width="9.140625" style="3"/>
    <col min="15616" max="15616" width="10.85546875" style="3" bestFit="1" customWidth="1"/>
    <col min="15617" max="15617" width="5.85546875" style="3" customWidth="1"/>
    <col min="15618" max="15618" width="43.28515625" style="3" customWidth="1"/>
    <col min="15619" max="15619" width="8" style="3" customWidth="1"/>
    <col min="15620" max="15620" width="13.85546875" style="3" customWidth="1"/>
    <col min="15621" max="15621" width="15.5703125" style="3" customWidth="1"/>
    <col min="15622" max="15622" width="8.5703125" style="3" customWidth="1"/>
    <col min="15623" max="15623" width="11" style="3" customWidth="1"/>
    <col min="15624" max="15624" width="12.5703125" style="3" customWidth="1"/>
    <col min="15625" max="15625" width="33.85546875" style="3" customWidth="1"/>
    <col min="15626" max="15626" width="9.28515625" style="3" customWidth="1"/>
    <col min="15627" max="15627" width="7.42578125" style="3" customWidth="1"/>
    <col min="15628" max="15628" width="9.28515625" style="3" customWidth="1"/>
    <col min="15629" max="15629" width="12.42578125" style="3" customWidth="1"/>
    <col min="15630" max="15630" width="8.85546875" style="3" customWidth="1"/>
    <col min="15631" max="15871" width="9.140625" style="3"/>
    <col min="15872" max="15872" width="10.85546875" style="3" bestFit="1" customWidth="1"/>
    <col min="15873" max="15873" width="5.85546875" style="3" customWidth="1"/>
    <col min="15874" max="15874" width="43.28515625" style="3" customWidth="1"/>
    <col min="15875" max="15875" width="8" style="3" customWidth="1"/>
    <col min="15876" max="15876" width="13.85546875" style="3" customWidth="1"/>
    <col min="15877" max="15877" width="15.5703125" style="3" customWidth="1"/>
    <col min="15878" max="15878" width="8.5703125" style="3" customWidth="1"/>
    <col min="15879" max="15879" width="11" style="3" customWidth="1"/>
    <col min="15880" max="15880" width="12.5703125" style="3" customWidth="1"/>
    <col min="15881" max="15881" width="33.85546875" style="3" customWidth="1"/>
    <col min="15882" max="15882" width="9.28515625" style="3" customWidth="1"/>
    <col min="15883" max="15883" width="7.42578125" style="3" customWidth="1"/>
    <col min="15884" max="15884" width="9.28515625" style="3" customWidth="1"/>
    <col min="15885" max="15885" width="12.42578125" style="3" customWidth="1"/>
    <col min="15886" max="15886" width="8.85546875" style="3" customWidth="1"/>
    <col min="15887" max="16127" width="9.140625" style="3"/>
    <col min="16128" max="16128" width="10.85546875" style="3" bestFit="1" customWidth="1"/>
    <col min="16129" max="16129" width="5.85546875" style="3" customWidth="1"/>
    <col min="16130" max="16130" width="43.28515625" style="3" customWidth="1"/>
    <col min="16131" max="16131" width="8" style="3" customWidth="1"/>
    <col min="16132" max="16132" width="13.85546875" style="3" customWidth="1"/>
    <col min="16133" max="16133" width="15.5703125" style="3" customWidth="1"/>
    <col min="16134" max="16134" width="8.5703125" style="3" customWidth="1"/>
    <col min="16135" max="16135" width="11" style="3" customWidth="1"/>
    <col min="16136" max="16136" width="12.5703125" style="3" customWidth="1"/>
    <col min="16137" max="16137" width="33.85546875" style="3" customWidth="1"/>
    <col min="16138" max="16138" width="9.28515625" style="3" customWidth="1"/>
    <col min="16139" max="16139" width="7.42578125" style="3" customWidth="1"/>
    <col min="16140" max="16140" width="9.28515625" style="3" customWidth="1"/>
    <col min="16141" max="16141" width="12.42578125" style="3" customWidth="1"/>
    <col min="16142" max="16142" width="8.85546875" style="3" customWidth="1"/>
    <col min="16143" max="16384" width="9.140625" style="3"/>
  </cols>
  <sheetData>
    <row r="1" spans="1:144">
      <c r="O1" s="380"/>
    </row>
    <row r="2" spans="1:144" ht="18.75">
      <c r="N2" s="247"/>
      <c r="O2" s="381"/>
    </row>
    <row r="3" spans="1:144" ht="23.25">
      <c r="B3" s="860" t="s">
        <v>575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380"/>
    </row>
    <row r="4" spans="1:144">
      <c r="O4" s="380"/>
    </row>
    <row r="5" spans="1:144" ht="33.75" customHeight="1">
      <c r="B5" s="861" t="s">
        <v>0</v>
      </c>
      <c r="C5" s="862" t="s">
        <v>1</v>
      </c>
      <c r="D5" s="863" t="s">
        <v>822</v>
      </c>
      <c r="E5" s="864"/>
      <c r="F5" s="864"/>
      <c r="G5" s="864"/>
      <c r="H5" s="865"/>
      <c r="I5" s="863" t="s">
        <v>2</v>
      </c>
      <c r="J5" s="864"/>
      <c r="K5" s="864"/>
      <c r="L5" s="864"/>
      <c r="M5" s="864"/>
      <c r="N5" s="865"/>
      <c r="O5" s="393" t="s">
        <v>482</v>
      </c>
    </row>
    <row r="6" spans="1:144" ht="128.25" customHeight="1">
      <c r="B6" s="861"/>
      <c r="C6" s="862"/>
      <c r="D6" s="365" t="s">
        <v>483</v>
      </c>
      <c r="E6" s="297" t="s">
        <v>484</v>
      </c>
      <c r="F6" s="297" t="s">
        <v>3</v>
      </c>
      <c r="G6" s="366" t="s">
        <v>4</v>
      </c>
      <c r="H6" s="431" t="s">
        <v>5</v>
      </c>
      <c r="I6" s="5" t="s">
        <v>6</v>
      </c>
      <c r="J6" s="5" t="s">
        <v>7</v>
      </c>
      <c r="K6" s="256" t="s">
        <v>8</v>
      </c>
      <c r="L6" s="256" t="s">
        <v>9</v>
      </c>
      <c r="M6" s="192" t="s">
        <v>574</v>
      </c>
      <c r="N6" s="624" t="s">
        <v>573</v>
      </c>
      <c r="O6" s="910"/>
    </row>
    <row r="7" spans="1:144" ht="38.25" customHeight="1">
      <c r="B7" s="109" t="s">
        <v>10</v>
      </c>
      <c r="C7" s="841" t="s">
        <v>485</v>
      </c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56"/>
      <c r="O7" s="910"/>
    </row>
    <row r="8" spans="1:144" s="80" customFormat="1" ht="33" customHeight="1">
      <c r="A8" s="78"/>
      <c r="B8" s="79"/>
      <c r="C8" s="785" t="s">
        <v>168</v>
      </c>
      <c r="D8" s="786"/>
      <c r="E8" s="786"/>
      <c r="F8" s="786"/>
      <c r="G8" s="786"/>
      <c r="H8" s="786"/>
      <c r="I8" s="786"/>
      <c r="J8" s="786"/>
      <c r="K8" s="786"/>
      <c r="L8" s="786"/>
      <c r="M8" s="786"/>
      <c r="N8" s="787"/>
      <c r="O8" s="910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6"/>
      <c r="DU8" s="126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</row>
    <row r="9" spans="1:144" s="14" customFormat="1" ht="107.25" hidden="1" customHeight="1">
      <c r="A9" s="9"/>
      <c r="B9" s="10"/>
      <c r="C9" s="11"/>
      <c r="D9" s="10"/>
      <c r="E9" s="298"/>
      <c r="F9" s="298"/>
      <c r="G9" s="366"/>
      <c r="H9" s="399"/>
      <c r="I9" s="11" t="s">
        <v>11</v>
      </c>
      <c r="J9" s="12" t="s">
        <v>12</v>
      </c>
      <c r="K9" s="257">
        <v>82.2</v>
      </c>
      <c r="L9" s="257">
        <v>87</v>
      </c>
      <c r="M9" s="12">
        <f>L9/K9</f>
        <v>1.0583941605839415</v>
      </c>
      <c r="N9" s="396"/>
      <c r="O9" s="910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</row>
    <row r="10" spans="1:144" s="14" customFormat="1" ht="82.5" hidden="1" customHeight="1">
      <c r="A10" s="9"/>
      <c r="B10" s="10"/>
      <c r="C10" s="11"/>
      <c r="D10" s="10"/>
      <c r="E10" s="298"/>
      <c r="F10" s="298"/>
      <c r="G10" s="366"/>
      <c r="H10" s="399"/>
      <c r="I10" s="11" t="s">
        <v>13</v>
      </c>
      <c r="J10" s="12" t="s">
        <v>12</v>
      </c>
      <c r="K10" s="257">
        <v>100</v>
      </c>
      <c r="L10" s="257">
        <v>101.04</v>
      </c>
      <c r="M10" s="12">
        <f>L10/K10</f>
        <v>1.0104</v>
      </c>
      <c r="N10" s="396"/>
      <c r="O10" s="910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</row>
    <row r="11" spans="1:144" s="14" customFormat="1" ht="89.25" hidden="1">
      <c r="A11" s="9"/>
      <c r="B11" s="10"/>
      <c r="C11" s="11"/>
      <c r="D11" s="10"/>
      <c r="E11" s="298"/>
      <c r="F11" s="298"/>
      <c r="G11" s="366"/>
      <c r="H11" s="399"/>
      <c r="I11" s="11" t="s">
        <v>14</v>
      </c>
      <c r="J11" s="12" t="s">
        <v>12</v>
      </c>
      <c r="K11" s="257">
        <v>100</v>
      </c>
      <c r="L11" s="257">
        <v>101.42</v>
      </c>
      <c r="M11" s="12">
        <f>L11/K11</f>
        <v>1.0142</v>
      </c>
      <c r="N11" s="396"/>
      <c r="O11" s="910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</row>
    <row r="12" spans="1:144" ht="15.75" hidden="1" customHeight="1">
      <c r="A12" s="7"/>
      <c r="B12" s="15"/>
      <c r="C12" s="156"/>
      <c r="D12" s="400"/>
      <c r="E12" s="299"/>
      <c r="F12" s="299"/>
      <c r="G12" s="423"/>
      <c r="H12" s="439"/>
      <c r="I12" s="16"/>
      <c r="J12" s="16"/>
      <c r="K12" s="258"/>
      <c r="L12" s="258"/>
      <c r="M12" s="17"/>
      <c r="N12" s="458"/>
      <c r="O12" s="910"/>
    </row>
    <row r="13" spans="1:144" ht="32.25" customHeight="1">
      <c r="A13" s="7"/>
      <c r="B13" s="246" t="s">
        <v>359</v>
      </c>
      <c r="C13" s="805" t="s">
        <v>169</v>
      </c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7"/>
      <c r="O13" s="910"/>
    </row>
    <row r="14" spans="1:144" s="80" customFormat="1" ht="33.75" customHeight="1">
      <c r="A14" s="78"/>
      <c r="B14" s="79"/>
      <c r="C14" s="785" t="s">
        <v>360</v>
      </c>
      <c r="D14" s="786"/>
      <c r="E14" s="786"/>
      <c r="F14" s="786"/>
      <c r="G14" s="786"/>
      <c r="H14" s="786"/>
      <c r="I14" s="786"/>
      <c r="J14" s="786"/>
      <c r="K14" s="786"/>
      <c r="L14" s="786"/>
      <c r="M14" s="786"/>
      <c r="N14" s="787"/>
      <c r="O14" s="910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26"/>
      <c r="CF14" s="126"/>
      <c r="CG14" s="126"/>
      <c r="CH14" s="126"/>
      <c r="CI14" s="126"/>
      <c r="CJ14" s="126"/>
      <c r="CK14" s="126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  <c r="DG14" s="126"/>
      <c r="DH14" s="126"/>
      <c r="DI14" s="126"/>
      <c r="DJ14" s="126"/>
      <c r="DK14" s="126"/>
      <c r="DL14" s="126"/>
      <c r="DM14" s="126"/>
      <c r="DN14" s="126"/>
      <c r="DO14" s="126"/>
      <c r="DP14" s="126"/>
      <c r="DQ14" s="126"/>
      <c r="DR14" s="126"/>
      <c r="DS14" s="126"/>
      <c r="DT14" s="126"/>
      <c r="DU14" s="126"/>
      <c r="DV14" s="126"/>
      <c r="DW14" s="126"/>
      <c r="DX14" s="126"/>
      <c r="DY14" s="126"/>
      <c r="DZ14" s="126"/>
      <c r="EA14" s="126"/>
      <c r="EB14" s="126"/>
      <c r="EC14" s="126"/>
      <c r="ED14" s="126"/>
      <c r="EE14" s="126"/>
      <c r="EF14" s="126"/>
      <c r="EG14" s="126"/>
      <c r="EH14" s="126"/>
      <c r="EI14" s="126"/>
      <c r="EJ14" s="126"/>
      <c r="EK14" s="126"/>
      <c r="EL14" s="126"/>
      <c r="EM14" s="126"/>
      <c r="EN14" s="126"/>
    </row>
    <row r="15" spans="1:144" s="80" customFormat="1" ht="26.25" customHeight="1">
      <c r="A15" s="78"/>
      <c r="B15" s="79"/>
      <c r="C15" s="785" t="s">
        <v>486</v>
      </c>
      <c r="D15" s="786"/>
      <c r="E15" s="786"/>
      <c r="F15" s="786"/>
      <c r="G15" s="786"/>
      <c r="H15" s="786"/>
      <c r="I15" s="786"/>
      <c r="J15" s="786"/>
      <c r="K15" s="786"/>
      <c r="L15" s="786"/>
      <c r="M15" s="786"/>
      <c r="N15" s="787"/>
      <c r="O15" s="910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</row>
    <row r="16" spans="1:144" s="80" customFormat="1" ht="26.25" customHeight="1">
      <c r="A16" s="78"/>
      <c r="B16" s="79"/>
      <c r="C16" s="785" t="s">
        <v>170</v>
      </c>
      <c r="D16" s="786"/>
      <c r="E16" s="786"/>
      <c r="F16" s="786"/>
      <c r="G16" s="786"/>
      <c r="H16" s="786"/>
      <c r="I16" s="786"/>
      <c r="J16" s="786"/>
      <c r="K16" s="786"/>
      <c r="L16" s="786"/>
      <c r="M16" s="786"/>
      <c r="N16" s="787"/>
      <c r="O16" s="910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6"/>
      <c r="DH16" s="126"/>
      <c r="DI16" s="126"/>
      <c r="DJ16" s="126"/>
      <c r="DK16" s="126"/>
      <c r="DL16" s="126"/>
      <c r="DM16" s="126"/>
      <c r="DN16" s="126"/>
      <c r="DO16" s="126"/>
      <c r="DP16" s="126"/>
      <c r="DQ16" s="126"/>
      <c r="DR16" s="126"/>
      <c r="DS16" s="126"/>
      <c r="DT16" s="126"/>
      <c r="DU16" s="126"/>
      <c r="DV16" s="126"/>
      <c r="DW16" s="126"/>
      <c r="DX16" s="126"/>
      <c r="DY16" s="126"/>
      <c r="DZ16" s="126"/>
      <c r="EA16" s="126"/>
      <c r="EB16" s="126"/>
      <c r="EC16" s="126"/>
      <c r="ED16" s="126"/>
      <c r="EE16" s="126"/>
      <c r="EF16" s="126"/>
      <c r="EG16" s="126"/>
      <c r="EH16" s="126"/>
      <c r="EI16" s="126"/>
      <c r="EJ16" s="126"/>
      <c r="EK16" s="126"/>
      <c r="EL16" s="126"/>
      <c r="EM16" s="126"/>
      <c r="EN16" s="126"/>
    </row>
    <row r="17" spans="1:144" s="80" customFormat="1" ht="26.25" customHeight="1">
      <c r="A17" s="78"/>
      <c r="B17" s="79"/>
      <c r="C17" s="785" t="s">
        <v>171</v>
      </c>
      <c r="D17" s="786"/>
      <c r="E17" s="786"/>
      <c r="F17" s="786"/>
      <c r="G17" s="786"/>
      <c r="H17" s="786"/>
      <c r="I17" s="786"/>
      <c r="J17" s="786"/>
      <c r="K17" s="786"/>
      <c r="L17" s="786"/>
      <c r="M17" s="786"/>
      <c r="N17" s="787"/>
      <c r="O17" s="910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</row>
    <row r="18" spans="1:144" s="80" customFormat="1" ht="26.25" customHeight="1">
      <c r="A18" s="78"/>
      <c r="B18" s="79"/>
      <c r="C18" s="785" t="s">
        <v>172</v>
      </c>
      <c r="D18" s="786"/>
      <c r="E18" s="786"/>
      <c r="F18" s="786"/>
      <c r="G18" s="786"/>
      <c r="H18" s="786"/>
      <c r="I18" s="786"/>
      <c r="J18" s="786"/>
      <c r="K18" s="786"/>
      <c r="L18" s="786"/>
      <c r="M18" s="786"/>
      <c r="N18" s="787"/>
      <c r="O18" s="910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  <c r="BZ18" s="126"/>
      <c r="CA18" s="126"/>
      <c r="CB18" s="126"/>
      <c r="CC18" s="126"/>
      <c r="CD18" s="126"/>
      <c r="CE18" s="126"/>
      <c r="CF18" s="126"/>
      <c r="CG18" s="126"/>
      <c r="CH18" s="126"/>
      <c r="CI18" s="126"/>
      <c r="CJ18" s="126"/>
      <c r="CK18" s="126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  <c r="DG18" s="126"/>
      <c r="DH18" s="126"/>
      <c r="DI18" s="126"/>
      <c r="DJ18" s="126"/>
      <c r="DK18" s="126"/>
      <c r="DL18" s="126"/>
      <c r="DM18" s="126"/>
      <c r="DN18" s="126"/>
      <c r="DO18" s="126"/>
      <c r="DP18" s="126"/>
      <c r="DQ18" s="126"/>
      <c r="DR18" s="126"/>
      <c r="DS18" s="126"/>
      <c r="DT18" s="126"/>
      <c r="DU18" s="126"/>
      <c r="DV18" s="126"/>
      <c r="DW18" s="126"/>
      <c r="DX18" s="126"/>
      <c r="DY18" s="126"/>
      <c r="DZ18" s="126"/>
      <c r="EA18" s="126"/>
      <c r="EB18" s="126"/>
      <c r="EC18" s="126"/>
      <c r="ED18" s="126"/>
      <c r="EE18" s="126"/>
      <c r="EF18" s="126"/>
      <c r="EG18" s="126"/>
      <c r="EH18" s="126"/>
      <c r="EI18" s="126"/>
      <c r="EJ18" s="126"/>
      <c r="EK18" s="126"/>
      <c r="EL18" s="126"/>
      <c r="EM18" s="126"/>
      <c r="EN18" s="126"/>
    </row>
    <row r="19" spans="1:144" s="80" customFormat="1" ht="26.25" customHeight="1">
      <c r="A19" s="78"/>
      <c r="B19" s="79"/>
      <c r="C19" s="785" t="s">
        <v>173</v>
      </c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7"/>
      <c r="O19" s="910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</row>
    <row r="20" spans="1:144" s="14" customFormat="1" ht="90.75" customHeight="1">
      <c r="A20" s="9"/>
      <c r="B20" s="10" t="s">
        <v>359</v>
      </c>
      <c r="C20" s="46" t="s">
        <v>578</v>
      </c>
      <c r="D20" s="35"/>
      <c r="E20" s="634">
        <f>2736323.6</f>
        <v>2736323.6</v>
      </c>
      <c r="F20" s="634">
        <f>2736323.6</f>
        <v>2736323.6</v>
      </c>
      <c r="G20" s="626">
        <f t="shared" ref="G20:G50" si="0">F20/E20*100</f>
        <v>100</v>
      </c>
      <c r="H20" s="399">
        <f>G20/100</f>
        <v>1</v>
      </c>
      <c r="I20" s="635" t="s">
        <v>619</v>
      </c>
      <c r="J20" s="47" t="s">
        <v>12</v>
      </c>
      <c r="K20" s="632">
        <v>100</v>
      </c>
      <c r="L20" s="632">
        <v>100</v>
      </c>
      <c r="M20" s="47">
        <f t="shared" ref="M20:M26" si="1">L20/K20*100</f>
        <v>100</v>
      </c>
      <c r="N20" s="254">
        <v>1</v>
      </c>
      <c r="O20" s="910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</row>
    <row r="21" spans="1:144" s="14" customFormat="1" ht="159.75" customHeight="1">
      <c r="A21" s="9"/>
      <c r="B21" s="10" t="s">
        <v>493</v>
      </c>
      <c r="C21" s="46" t="s">
        <v>576</v>
      </c>
      <c r="D21" s="35"/>
      <c r="E21" s="634">
        <f>18261166</f>
        <v>18261166</v>
      </c>
      <c r="F21" s="634">
        <f>17113857.44</f>
        <v>17113857.440000001</v>
      </c>
      <c r="G21" s="737">
        <f t="shared" si="0"/>
        <v>93.717221780909284</v>
      </c>
      <c r="H21" s="399">
        <v>0.94</v>
      </c>
      <c r="I21" s="635" t="s">
        <v>620</v>
      </c>
      <c r="J21" s="47" t="s">
        <v>12</v>
      </c>
      <c r="K21" s="632">
        <v>100</v>
      </c>
      <c r="L21" s="632">
        <v>100</v>
      </c>
      <c r="M21" s="47">
        <f t="shared" si="1"/>
        <v>100</v>
      </c>
      <c r="N21" s="254">
        <v>1</v>
      </c>
      <c r="O21" s="910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</row>
    <row r="22" spans="1:144" s="14" customFormat="1" ht="165" customHeight="1">
      <c r="A22" s="9"/>
      <c r="B22" s="10" t="s">
        <v>494</v>
      </c>
      <c r="C22" s="636" t="s">
        <v>577</v>
      </c>
      <c r="D22" s="35"/>
      <c r="E22" s="634">
        <f>31089511.39</f>
        <v>31089511.390000001</v>
      </c>
      <c r="F22" s="634">
        <f>31035999.32</f>
        <v>31035999.32</v>
      </c>
      <c r="G22" s="737">
        <f t="shared" si="0"/>
        <v>99.827877417149722</v>
      </c>
      <c r="H22" s="399">
        <v>0.99</v>
      </c>
      <c r="I22" s="630" t="s">
        <v>621</v>
      </c>
      <c r="J22" s="47" t="s">
        <v>12</v>
      </c>
      <c r="K22" s="632">
        <v>100</v>
      </c>
      <c r="L22" s="632">
        <v>100</v>
      </c>
      <c r="M22" s="47">
        <f t="shared" si="1"/>
        <v>100</v>
      </c>
      <c r="N22" s="254">
        <v>1</v>
      </c>
      <c r="O22" s="910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</row>
    <row r="23" spans="1:144" s="14" customFormat="1" ht="203.25" customHeight="1">
      <c r="A23" s="9"/>
      <c r="B23" s="10" t="s">
        <v>495</v>
      </c>
      <c r="C23" s="636" t="s">
        <v>580</v>
      </c>
      <c r="D23" s="35"/>
      <c r="E23" s="634">
        <f>23709958</f>
        <v>23709958</v>
      </c>
      <c r="F23" s="634">
        <f>23192446.98</f>
        <v>23192446.98</v>
      </c>
      <c r="G23" s="737">
        <f t="shared" si="0"/>
        <v>97.817326289654332</v>
      </c>
      <c r="H23" s="399">
        <v>0.98</v>
      </c>
      <c r="I23" s="630" t="s">
        <v>622</v>
      </c>
      <c r="J23" s="47" t="s">
        <v>12</v>
      </c>
      <c r="K23" s="632">
        <v>100</v>
      </c>
      <c r="L23" s="632">
        <v>100</v>
      </c>
      <c r="M23" s="47">
        <f t="shared" si="1"/>
        <v>100</v>
      </c>
      <c r="N23" s="254">
        <v>1</v>
      </c>
      <c r="O23" s="910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</row>
    <row r="24" spans="1:144" s="14" customFormat="1" ht="213.75" customHeight="1">
      <c r="A24" s="9"/>
      <c r="B24" s="10" t="s">
        <v>496</v>
      </c>
      <c r="C24" s="636" t="s">
        <v>579</v>
      </c>
      <c r="D24" s="35"/>
      <c r="E24" s="634">
        <f>132579866.48</f>
        <v>132579866.48</v>
      </c>
      <c r="F24" s="634">
        <f>132328132.62</f>
        <v>132328132.62</v>
      </c>
      <c r="G24" s="737">
        <f t="shared" si="0"/>
        <v>99.810126630322131</v>
      </c>
      <c r="H24" s="399">
        <v>0.99</v>
      </c>
      <c r="I24" s="630" t="s">
        <v>623</v>
      </c>
      <c r="J24" s="47" t="s">
        <v>12</v>
      </c>
      <c r="K24" s="632">
        <v>100</v>
      </c>
      <c r="L24" s="632">
        <v>100</v>
      </c>
      <c r="M24" s="47">
        <f t="shared" si="1"/>
        <v>100</v>
      </c>
      <c r="N24" s="254">
        <v>1</v>
      </c>
      <c r="O24" s="910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</row>
    <row r="25" spans="1:144" s="14" customFormat="1" ht="124.5" customHeight="1">
      <c r="A25" s="9"/>
      <c r="B25" s="10" t="s">
        <v>497</v>
      </c>
      <c r="C25" s="637" t="s">
        <v>488</v>
      </c>
      <c r="D25" s="35"/>
      <c r="E25" s="634">
        <f>33790</f>
        <v>33790</v>
      </c>
      <c r="F25" s="634">
        <f>33784</f>
        <v>33784</v>
      </c>
      <c r="G25" s="737">
        <f t="shared" si="0"/>
        <v>99.982243267238829</v>
      </c>
      <c r="H25" s="399">
        <v>1</v>
      </c>
      <c r="I25" s="630" t="s">
        <v>624</v>
      </c>
      <c r="J25" s="47" t="s">
        <v>12</v>
      </c>
      <c r="K25" s="632">
        <v>100</v>
      </c>
      <c r="L25" s="632">
        <v>100</v>
      </c>
      <c r="M25" s="47">
        <f t="shared" si="1"/>
        <v>100</v>
      </c>
      <c r="N25" s="254">
        <v>1</v>
      </c>
      <c r="O25" s="910"/>
      <c r="P25" s="355"/>
      <c r="Q25" s="355"/>
      <c r="R25" s="355"/>
      <c r="S25" s="355"/>
      <c r="T25" s="355"/>
      <c r="U25" s="355"/>
      <c r="V25" s="355"/>
      <c r="W25" s="355"/>
      <c r="X25" s="355"/>
      <c r="Y25" s="355"/>
      <c r="Z25" s="355"/>
      <c r="AA25" s="355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</row>
    <row r="26" spans="1:144" s="14" customFormat="1" ht="138" customHeight="1">
      <c r="A26" s="9"/>
      <c r="B26" s="10" t="s">
        <v>498</v>
      </c>
      <c r="C26" s="46" t="s">
        <v>487</v>
      </c>
      <c r="D26" s="35"/>
      <c r="E26" s="634">
        <f>11804082.32</f>
        <v>11804082.32</v>
      </c>
      <c r="F26" s="634">
        <f>11541544.72</f>
        <v>11541544.720000001</v>
      </c>
      <c r="G26" s="737">
        <f t="shared" si="0"/>
        <v>97.775874541681446</v>
      </c>
      <c r="H26" s="399">
        <v>0.98</v>
      </c>
      <c r="I26" s="630" t="s">
        <v>625</v>
      </c>
      <c r="J26" s="47" t="s">
        <v>12</v>
      </c>
      <c r="K26" s="631">
        <v>1.4</v>
      </c>
      <c r="L26" s="631">
        <v>1.25</v>
      </c>
      <c r="M26" s="47">
        <f t="shared" si="1"/>
        <v>89.285714285714292</v>
      </c>
      <c r="N26" s="254">
        <v>0.89</v>
      </c>
      <c r="O26" s="910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</row>
    <row r="27" spans="1:144" s="14" customFormat="1" ht="60.75" hidden="1" customHeight="1">
      <c r="A27" s="9"/>
      <c r="B27" s="10" t="s">
        <v>499</v>
      </c>
      <c r="C27" s="46" t="s">
        <v>17</v>
      </c>
      <c r="D27" s="35"/>
      <c r="E27" s="638">
        <f>SUM(E28:E29)</f>
        <v>490803.85</v>
      </c>
      <c r="F27" s="638">
        <f>SUM(F28:F29)</f>
        <v>478879.47</v>
      </c>
      <c r="G27" s="737">
        <f t="shared" si="0"/>
        <v>97.570438781195378</v>
      </c>
      <c r="H27" s="399"/>
      <c r="I27" s="630" t="s">
        <v>626</v>
      </c>
      <c r="J27" s="47"/>
      <c r="K27" s="630">
        <v>1.8</v>
      </c>
      <c r="L27" s="630">
        <v>4.5</v>
      </c>
      <c r="M27" s="47"/>
      <c r="N27" s="254"/>
      <c r="O27" s="910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5"/>
      <c r="AA27" s="355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</row>
    <row r="28" spans="1:144" s="14" customFormat="1" ht="84" hidden="1">
      <c r="A28" s="9"/>
      <c r="B28" s="10" t="s">
        <v>500</v>
      </c>
      <c r="C28" s="46"/>
      <c r="D28" s="35"/>
      <c r="E28" s="303">
        <v>86583.11</v>
      </c>
      <c r="F28" s="303">
        <f>54705.7+28176.36</f>
        <v>82882.06</v>
      </c>
      <c r="G28" s="737">
        <f t="shared" si="0"/>
        <v>95.725436519894004</v>
      </c>
      <c r="H28" s="399"/>
      <c r="I28" s="630" t="s">
        <v>627</v>
      </c>
      <c r="J28" s="639"/>
      <c r="K28" s="630">
        <v>0</v>
      </c>
      <c r="L28" s="630">
        <v>0</v>
      </c>
      <c r="M28" s="639"/>
      <c r="N28" s="254"/>
      <c r="O28" s="910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</row>
    <row r="29" spans="1:144" s="14" customFormat="1" ht="48" hidden="1">
      <c r="A29" s="9"/>
      <c r="B29" s="10" t="s">
        <v>501</v>
      </c>
      <c r="C29" s="46"/>
      <c r="D29" s="35"/>
      <c r="E29" s="303">
        <f>404220.74</f>
        <v>404220.74</v>
      </c>
      <c r="F29" s="303">
        <f>291696.49+104300.92</f>
        <v>395997.41</v>
      </c>
      <c r="G29" s="737">
        <f t="shared" si="0"/>
        <v>97.96563382670567</v>
      </c>
      <c r="H29" s="399"/>
      <c r="I29" s="630" t="s">
        <v>628</v>
      </c>
      <c r="J29" s="47"/>
      <c r="K29" s="630">
        <v>80</v>
      </c>
      <c r="L29" s="630">
        <v>80</v>
      </c>
      <c r="M29" s="47"/>
      <c r="N29" s="254"/>
      <c r="O29" s="910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</row>
    <row r="30" spans="1:144" s="14" customFormat="1" ht="76.5" hidden="1">
      <c r="A30" s="9"/>
      <c r="B30" s="10" t="s">
        <v>502</v>
      </c>
      <c r="C30" s="46" t="s">
        <v>18</v>
      </c>
      <c r="D30" s="35"/>
      <c r="E30" s="638">
        <f>SUM(E31:E32)</f>
        <v>44511.590000000004</v>
      </c>
      <c r="F30" s="638">
        <f>SUM(F31:F32)</f>
        <v>43144.57</v>
      </c>
      <c r="G30" s="737">
        <f t="shared" si="0"/>
        <v>96.928844824460313</v>
      </c>
      <c r="H30" s="399"/>
      <c r="I30" s="630" t="s">
        <v>629</v>
      </c>
      <c r="J30" s="47"/>
      <c r="K30" s="630">
        <v>100</v>
      </c>
      <c r="L30" s="630">
        <v>100</v>
      </c>
      <c r="M30" s="47"/>
      <c r="N30" s="254"/>
      <c r="O30" s="910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</row>
    <row r="31" spans="1:144" s="14" customFormat="1" ht="12.75" hidden="1">
      <c r="A31" s="9"/>
      <c r="B31" s="10" t="s">
        <v>503</v>
      </c>
      <c r="C31" s="46"/>
      <c r="D31" s="35"/>
      <c r="E31" s="638">
        <v>5573.33</v>
      </c>
      <c r="F31" s="638">
        <v>5552.46</v>
      </c>
      <c r="G31" s="737">
        <f t="shared" si="0"/>
        <v>99.625538053551466</v>
      </c>
      <c r="H31" s="399"/>
      <c r="I31" s="46"/>
      <c r="J31" s="47"/>
      <c r="K31" s="273"/>
      <c r="L31" s="273"/>
      <c r="M31" s="47"/>
      <c r="N31" s="254"/>
      <c r="O31" s="910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</row>
    <row r="32" spans="1:144" s="14" customFormat="1" ht="12.75" hidden="1">
      <c r="A32" s="9"/>
      <c r="B32" s="10" t="s">
        <v>504</v>
      </c>
      <c r="C32" s="46"/>
      <c r="D32" s="35"/>
      <c r="E32" s="638">
        <v>38938.26</v>
      </c>
      <c r="F32" s="638">
        <v>37592.11</v>
      </c>
      <c r="G32" s="737">
        <f t="shared" si="0"/>
        <v>96.542860415437147</v>
      </c>
      <c r="H32" s="399"/>
      <c r="I32" s="46"/>
      <c r="J32" s="47"/>
      <c r="K32" s="273"/>
      <c r="L32" s="273"/>
      <c r="M32" s="47"/>
      <c r="N32" s="254"/>
      <c r="O32" s="910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</row>
    <row r="33" spans="1:144" s="14" customFormat="1" ht="25.5" hidden="1">
      <c r="A33" s="9"/>
      <c r="B33" s="10" t="s">
        <v>505</v>
      </c>
      <c r="C33" s="46" t="s">
        <v>19</v>
      </c>
      <c r="D33" s="640"/>
      <c r="E33" s="638">
        <f>SUM(E34:E34)</f>
        <v>238688.44</v>
      </c>
      <c r="F33" s="638">
        <f>SUM(F34:F34)</f>
        <v>230573.44</v>
      </c>
      <c r="G33" s="737">
        <f t="shared" si="0"/>
        <v>96.600170498412069</v>
      </c>
      <c r="H33" s="399"/>
      <c r="I33" s="46"/>
      <c r="J33" s="47"/>
      <c r="K33" s="273"/>
      <c r="L33" s="273"/>
      <c r="M33" s="47"/>
      <c r="N33" s="254"/>
      <c r="O33" s="910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</row>
    <row r="34" spans="1:144" s="14" customFormat="1" ht="12.75" hidden="1">
      <c r="A34" s="9"/>
      <c r="B34" s="10" t="s">
        <v>506</v>
      </c>
      <c r="C34" s="46"/>
      <c r="D34" s="35"/>
      <c r="E34" s="316">
        <v>238688.44</v>
      </c>
      <c r="F34" s="316">
        <v>230573.44</v>
      </c>
      <c r="G34" s="737">
        <f t="shared" si="0"/>
        <v>96.600170498412069</v>
      </c>
      <c r="H34" s="399"/>
      <c r="I34" s="46"/>
      <c r="J34" s="47"/>
      <c r="K34" s="273"/>
      <c r="L34" s="273"/>
      <c r="M34" s="47"/>
      <c r="N34" s="254"/>
      <c r="O34" s="910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</row>
    <row r="35" spans="1:144" s="14" customFormat="1" ht="73.5" customHeight="1">
      <c r="A35" s="9"/>
      <c r="B35" s="10" t="s">
        <v>507</v>
      </c>
      <c r="C35" s="637" t="s">
        <v>489</v>
      </c>
      <c r="D35" s="35"/>
      <c r="E35" s="634">
        <f>743620</f>
        <v>743620</v>
      </c>
      <c r="F35" s="634">
        <f>621954.06</f>
        <v>621954.06000000006</v>
      </c>
      <c r="G35" s="737">
        <f t="shared" si="0"/>
        <v>83.638694494499887</v>
      </c>
      <c r="H35" s="399">
        <v>0.84</v>
      </c>
      <c r="I35" s="46" t="s">
        <v>490</v>
      </c>
      <c r="J35" s="47" t="s">
        <v>12</v>
      </c>
      <c r="K35" s="273">
        <v>1.6</v>
      </c>
      <c r="L35" s="273">
        <v>4.7</v>
      </c>
      <c r="M35" s="47">
        <v>34</v>
      </c>
      <c r="N35" s="254">
        <v>0.34</v>
      </c>
      <c r="O35" s="53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</row>
    <row r="36" spans="1:144" s="14" customFormat="1" ht="101.25" customHeight="1">
      <c r="A36" s="9"/>
      <c r="B36" s="10" t="s">
        <v>508</v>
      </c>
      <c r="C36" s="641" t="s">
        <v>581</v>
      </c>
      <c r="D36" s="35"/>
      <c r="E36" s="634">
        <f>3931048.99</f>
        <v>3931048.99</v>
      </c>
      <c r="F36" s="634">
        <f>3561786.83</f>
        <v>3561786.83</v>
      </c>
      <c r="G36" s="737">
        <f t="shared" si="0"/>
        <v>90.606523578328634</v>
      </c>
      <c r="H36" s="399">
        <v>0.91</v>
      </c>
      <c r="I36" s="46" t="s">
        <v>515</v>
      </c>
      <c r="J36" s="47" t="s">
        <v>12</v>
      </c>
      <c r="K36" s="273">
        <v>81.7</v>
      </c>
      <c r="L36" s="273">
        <v>82</v>
      </c>
      <c r="M36" s="47">
        <f>L36/K36*100</f>
        <v>100.3671970624235</v>
      </c>
      <c r="N36" s="254">
        <v>1</v>
      </c>
      <c r="O36" s="910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</row>
    <row r="37" spans="1:144" s="14" customFormat="1" ht="81" customHeight="1">
      <c r="A37" s="9"/>
      <c r="B37" s="10" t="s">
        <v>509</v>
      </c>
      <c r="C37" s="642" t="s">
        <v>582</v>
      </c>
      <c r="D37" s="35"/>
      <c r="E37" s="634">
        <f>99377785.86</f>
        <v>99377785.859999999</v>
      </c>
      <c r="F37" s="634">
        <f>98898645.83</f>
        <v>98898645.829999998</v>
      </c>
      <c r="G37" s="737">
        <f t="shared" si="0"/>
        <v>99.517860026912857</v>
      </c>
      <c r="H37" s="399">
        <v>0.99</v>
      </c>
      <c r="I37" s="46" t="s">
        <v>491</v>
      </c>
      <c r="J37" s="47" t="s">
        <v>12</v>
      </c>
      <c r="K37" s="273">
        <v>80</v>
      </c>
      <c r="L37" s="273">
        <v>80</v>
      </c>
      <c r="M37" s="47">
        <f>L37/K37*100</f>
        <v>100</v>
      </c>
      <c r="N37" s="254">
        <v>1</v>
      </c>
      <c r="O37" s="910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</row>
    <row r="38" spans="1:144" s="14" customFormat="1" ht="110.25" customHeight="1">
      <c r="A38" s="9"/>
      <c r="B38" s="10" t="s">
        <v>551</v>
      </c>
      <c r="C38" s="641" t="s">
        <v>583</v>
      </c>
      <c r="D38" s="35"/>
      <c r="E38" s="634">
        <f>305000</f>
        <v>305000</v>
      </c>
      <c r="F38" s="634">
        <f>305000</f>
        <v>305000</v>
      </c>
      <c r="G38" s="737">
        <f t="shared" si="0"/>
        <v>100</v>
      </c>
      <c r="H38" s="399">
        <v>1</v>
      </c>
      <c r="I38" s="46" t="s">
        <v>492</v>
      </c>
      <c r="J38" s="47" t="s">
        <v>12</v>
      </c>
      <c r="K38" s="273">
        <v>100</v>
      </c>
      <c r="L38" s="273">
        <v>100</v>
      </c>
      <c r="M38" s="47">
        <f>L38/K38*100</f>
        <v>100</v>
      </c>
      <c r="N38" s="254">
        <v>1</v>
      </c>
      <c r="O38" s="910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</row>
    <row r="39" spans="1:144" s="14" customFormat="1" ht="108" customHeight="1">
      <c r="A39" s="9"/>
      <c r="B39" s="10" t="s">
        <v>552</v>
      </c>
      <c r="C39" s="641" t="s">
        <v>584</v>
      </c>
      <c r="D39" s="35"/>
      <c r="E39" s="634">
        <f>6844600</f>
        <v>6844600</v>
      </c>
      <c r="F39" s="634">
        <f>6747874.37</f>
        <v>6747874.3700000001</v>
      </c>
      <c r="G39" s="737">
        <f t="shared" si="0"/>
        <v>98.586832977821942</v>
      </c>
      <c r="H39" s="399">
        <v>0.99</v>
      </c>
      <c r="I39" s="630" t="s">
        <v>630</v>
      </c>
      <c r="J39" s="47" t="s">
        <v>12</v>
      </c>
      <c r="K39" s="632">
        <v>76</v>
      </c>
      <c r="L39" s="632">
        <v>76</v>
      </c>
      <c r="M39" s="47">
        <v>100</v>
      </c>
      <c r="N39" s="254">
        <v>1</v>
      </c>
      <c r="O39" s="53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</row>
    <row r="40" spans="1:144" s="14" customFormat="1" ht="92.25" customHeight="1">
      <c r="A40" s="9"/>
      <c r="B40" s="10" t="s">
        <v>553</v>
      </c>
      <c r="C40" s="641" t="s">
        <v>585</v>
      </c>
      <c r="D40" s="35"/>
      <c r="E40" s="634">
        <f>2770200</f>
        <v>2770200</v>
      </c>
      <c r="F40" s="634">
        <f>2724200</f>
        <v>2724200</v>
      </c>
      <c r="G40" s="737">
        <f t="shared" si="0"/>
        <v>98.339470074362865</v>
      </c>
      <c r="H40" s="399">
        <v>0.99</v>
      </c>
      <c r="I40" s="630" t="s">
        <v>631</v>
      </c>
      <c r="J40" s="47" t="s">
        <v>12</v>
      </c>
      <c r="K40" s="632">
        <v>100</v>
      </c>
      <c r="L40" s="632">
        <v>100</v>
      </c>
      <c r="M40" s="47">
        <v>100</v>
      </c>
      <c r="N40" s="254">
        <v>1</v>
      </c>
      <c r="O40" s="910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</row>
    <row r="41" spans="1:144" s="14" customFormat="1" ht="159" customHeight="1">
      <c r="A41" s="9"/>
      <c r="B41" s="10" t="s">
        <v>554</v>
      </c>
      <c r="C41" s="641" t="s">
        <v>586</v>
      </c>
      <c r="D41" s="35"/>
      <c r="E41" s="634">
        <f>3662949.4</f>
        <v>3662949.4</v>
      </c>
      <c r="F41" s="634">
        <f>3181127.2</f>
        <v>3181127.2</v>
      </c>
      <c r="G41" s="737">
        <f t="shared" si="0"/>
        <v>86.846059080150013</v>
      </c>
      <c r="H41" s="399">
        <v>0.87</v>
      </c>
      <c r="I41" s="630" t="s">
        <v>632</v>
      </c>
      <c r="J41" s="47" t="s">
        <v>12</v>
      </c>
      <c r="K41" s="632">
        <v>80.5</v>
      </c>
      <c r="L41" s="632">
        <v>80.5</v>
      </c>
      <c r="M41" s="47">
        <f>L41/K41*100</f>
        <v>100</v>
      </c>
      <c r="N41" s="254">
        <v>1</v>
      </c>
      <c r="O41" s="910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</row>
    <row r="42" spans="1:144" s="14" customFormat="1" ht="78.75" customHeight="1">
      <c r="A42" s="9"/>
      <c r="B42" s="10" t="s">
        <v>594</v>
      </c>
      <c r="C42" s="642" t="s">
        <v>587</v>
      </c>
      <c r="D42" s="35"/>
      <c r="E42" s="634">
        <f>2886100</f>
        <v>2886100</v>
      </c>
      <c r="F42" s="634">
        <f>2885932.78</f>
        <v>2885932.78</v>
      </c>
      <c r="G42" s="737">
        <f t="shared" si="0"/>
        <v>99.994206021967358</v>
      </c>
      <c r="H42" s="399">
        <v>1</v>
      </c>
      <c r="I42" s="643" t="s">
        <v>633</v>
      </c>
      <c r="J42" s="47" t="s">
        <v>12</v>
      </c>
      <c r="K42" s="632">
        <v>82</v>
      </c>
      <c r="L42" s="632">
        <v>82</v>
      </c>
      <c r="M42" s="47">
        <v>100</v>
      </c>
      <c r="N42" s="254">
        <v>1</v>
      </c>
      <c r="O42" s="910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</row>
    <row r="43" spans="1:144" s="14" customFormat="1" ht="79.5" customHeight="1">
      <c r="A43" s="9"/>
      <c r="B43" s="10" t="s">
        <v>595</v>
      </c>
      <c r="C43" s="642" t="s">
        <v>588</v>
      </c>
      <c r="D43" s="35"/>
      <c r="E43" s="634">
        <f>325000</f>
        <v>325000</v>
      </c>
      <c r="F43" s="634">
        <f>325000</f>
        <v>325000</v>
      </c>
      <c r="G43" s="737">
        <f t="shared" si="0"/>
        <v>100</v>
      </c>
      <c r="H43" s="399">
        <v>1</v>
      </c>
      <c r="I43" s="643" t="s">
        <v>634</v>
      </c>
      <c r="J43" s="47" t="s">
        <v>12</v>
      </c>
      <c r="K43" s="632">
        <v>7.9</v>
      </c>
      <c r="L43" s="632">
        <v>7.9</v>
      </c>
      <c r="M43" s="47">
        <v>100</v>
      </c>
      <c r="N43" s="254">
        <v>1</v>
      </c>
      <c r="O43" s="910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</row>
    <row r="44" spans="1:144" s="14" customFormat="1" ht="87.75" customHeight="1">
      <c r="A44" s="9"/>
      <c r="B44" s="10" t="s">
        <v>596</v>
      </c>
      <c r="C44" s="642" t="s">
        <v>589</v>
      </c>
      <c r="D44" s="35"/>
      <c r="E44" s="634">
        <f>65000</f>
        <v>65000</v>
      </c>
      <c r="F44" s="634">
        <f>34515.96</f>
        <v>34515.96</v>
      </c>
      <c r="G44" s="737">
        <f t="shared" si="0"/>
        <v>53.101476923076916</v>
      </c>
      <c r="H44" s="399">
        <v>0.53</v>
      </c>
      <c r="I44" s="643"/>
      <c r="J44" s="47"/>
      <c r="K44" s="632"/>
      <c r="L44" s="632"/>
      <c r="M44" s="47"/>
      <c r="N44" s="254"/>
      <c r="O44" s="910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</row>
    <row r="45" spans="1:144" s="14" customFormat="1" ht="102" customHeight="1">
      <c r="A45" s="9"/>
      <c r="B45" s="10" t="s">
        <v>597</v>
      </c>
      <c r="C45" s="641" t="s">
        <v>590</v>
      </c>
      <c r="D45" s="35"/>
      <c r="E45" s="634">
        <f>1944500</f>
        <v>1944500</v>
      </c>
      <c r="F45" s="634">
        <f>1944463.45</f>
        <v>1944463.45</v>
      </c>
      <c r="G45" s="737">
        <f t="shared" si="0"/>
        <v>99.998120339418875</v>
      </c>
      <c r="H45" s="399">
        <v>1</v>
      </c>
      <c r="I45" s="643"/>
      <c r="J45" s="47"/>
      <c r="K45" s="632"/>
      <c r="L45" s="632"/>
      <c r="M45" s="47"/>
      <c r="N45" s="254"/>
      <c r="O45" s="910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</row>
    <row r="46" spans="1:144" s="14" customFormat="1" ht="126.75" customHeight="1">
      <c r="A46" s="9"/>
      <c r="B46" s="10" t="s">
        <v>598</v>
      </c>
      <c r="C46" s="641" t="s">
        <v>591</v>
      </c>
      <c r="D46" s="35"/>
      <c r="E46" s="634">
        <f>74100</f>
        <v>74100</v>
      </c>
      <c r="F46" s="634">
        <f>19613.27</f>
        <v>19613.27</v>
      </c>
      <c r="G46" s="737">
        <f t="shared" si="0"/>
        <v>26.46865047233468</v>
      </c>
      <c r="H46" s="399">
        <v>0.27</v>
      </c>
      <c r="I46" s="643"/>
      <c r="J46" s="47"/>
      <c r="K46" s="632"/>
      <c r="L46" s="632"/>
      <c r="M46" s="47"/>
      <c r="N46" s="254"/>
      <c r="O46" s="910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</row>
    <row r="47" spans="1:144" s="14" customFormat="1" ht="87.75" customHeight="1">
      <c r="A47" s="9"/>
      <c r="B47" s="10" t="s">
        <v>599</v>
      </c>
      <c r="C47" s="641" t="s">
        <v>592</v>
      </c>
      <c r="D47" s="35"/>
      <c r="E47" s="634">
        <f>3634400</f>
        <v>3634400</v>
      </c>
      <c r="F47" s="634">
        <f>3634400</f>
        <v>3634400</v>
      </c>
      <c r="G47" s="737">
        <f t="shared" si="0"/>
        <v>100</v>
      </c>
      <c r="H47" s="399">
        <v>1</v>
      </c>
      <c r="I47" s="643"/>
      <c r="J47" s="47"/>
      <c r="K47" s="632"/>
      <c r="L47" s="632"/>
      <c r="M47" s="47"/>
      <c r="N47" s="254"/>
      <c r="O47" s="910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</row>
    <row r="48" spans="1:144" s="14" customFormat="1" ht="87.75" customHeight="1">
      <c r="A48" s="9"/>
      <c r="B48" s="10" t="s">
        <v>600</v>
      </c>
      <c r="C48" s="641" t="s">
        <v>593</v>
      </c>
      <c r="D48" s="35"/>
      <c r="E48" s="634">
        <f>5780291</f>
        <v>5780291</v>
      </c>
      <c r="F48" s="634">
        <f>5780291</f>
        <v>5780291</v>
      </c>
      <c r="G48" s="737">
        <f t="shared" si="0"/>
        <v>100</v>
      </c>
      <c r="H48" s="399">
        <v>1</v>
      </c>
      <c r="I48" s="643"/>
      <c r="J48" s="47"/>
      <c r="K48" s="632"/>
      <c r="L48" s="632"/>
      <c r="M48" s="47"/>
      <c r="N48" s="254"/>
      <c r="O48" s="910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</row>
    <row r="49" spans="1:144" s="14" customFormat="1" ht="87.75" customHeight="1">
      <c r="A49" s="9"/>
      <c r="B49" s="10" t="s">
        <v>602</v>
      </c>
      <c r="C49" s="644" t="s">
        <v>601</v>
      </c>
      <c r="D49" s="35"/>
      <c r="E49" s="634">
        <f>511045.94</f>
        <v>511045.94</v>
      </c>
      <c r="F49" s="634">
        <f>511045.94</f>
        <v>511045.94</v>
      </c>
      <c r="G49" s="737">
        <f t="shared" si="0"/>
        <v>100</v>
      </c>
      <c r="H49" s="399">
        <v>1</v>
      </c>
      <c r="I49" s="643"/>
      <c r="J49" s="47"/>
      <c r="K49" s="632"/>
      <c r="L49" s="632"/>
      <c r="M49" s="47"/>
      <c r="N49" s="254"/>
      <c r="O49" s="910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</row>
    <row r="50" spans="1:144" s="14" customFormat="1" ht="87.75" customHeight="1">
      <c r="A50" s="9"/>
      <c r="B50" s="10" t="s">
        <v>603</v>
      </c>
      <c r="C50" s="644" t="s">
        <v>604</v>
      </c>
      <c r="D50" s="35"/>
      <c r="E50" s="634">
        <f>9127779.21</f>
        <v>9127779.2100000009</v>
      </c>
      <c r="F50" s="634">
        <f>8401045.58</f>
        <v>8401045.5800000001</v>
      </c>
      <c r="G50" s="737">
        <f t="shared" si="0"/>
        <v>92.038220762353419</v>
      </c>
      <c r="H50" s="399">
        <v>0.92</v>
      </c>
      <c r="I50" s="46"/>
      <c r="J50" s="47"/>
      <c r="K50" s="273"/>
      <c r="L50" s="273"/>
      <c r="M50" s="47"/>
      <c r="N50" s="254"/>
      <c r="O50" s="910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</row>
    <row r="51" spans="1:144" s="23" customFormat="1" ht="26.25" customHeight="1">
      <c r="A51" s="20">
        <f>E51-F51</f>
        <v>4639133.2399999499</v>
      </c>
      <c r="B51" s="63"/>
      <c r="C51" s="717" t="s">
        <v>21</v>
      </c>
      <c r="D51" s="401"/>
      <c r="E51" s="301">
        <f>E50+E49+E48+E47+E46+E45+E44+E43+E42+E41+E40+E39+E38+E37+E36+E35+E26+E25+E24+E23+E22+E21+E20</f>
        <v>362198118.19</v>
      </c>
      <c r="F51" s="301">
        <f>F50+F49+F48+F47+F46+F45+F44+F43+F42+F41+F40+F39+F38+F37+F36+F35+F26+F25+F24+F23+F22+F21+F20</f>
        <v>357558984.95000005</v>
      </c>
      <c r="G51" s="482">
        <f>F51/E51*100</f>
        <v>98.719172461971112</v>
      </c>
      <c r="H51" s="456">
        <f>G51/100</f>
        <v>0.98719172461971116</v>
      </c>
      <c r="I51" s="61"/>
      <c r="J51" s="88"/>
      <c r="K51" s="265"/>
      <c r="L51" s="265"/>
      <c r="M51" s="718">
        <f>(M43+M42+M41+M40+M39+M38+M37+M36+M35+M26+M25+M24+M23+M22+M21+M20)/16</f>
        <v>95.228306959258617</v>
      </c>
      <c r="N51" s="719">
        <v>0.95</v>
      </c>
      <c r="O51" s="910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</row>
    <row r="52" spans="1:144" ht="26.25" customHeight="1">
      <c r="A52" s="7"/>
      <c r="B52" s="246" t="s">
        <v>493</v>
      </c>
      <c r="C52" s="805" t="s">
        <v>609</v>
      </c>
      <c r="D52" s="806"/>
      <c r="E52" s="806"/>
      <c r="F52" s="806"/>
      <c r="G52" s="806"/>
      <c r="H52" s="806"/>
      <c r="I52" s="806"/>
      <c r="J52" s="806"/>
      <c r="K52" s="806"/>
      <c r="L52" s="806"/>
      <c r="M52" s="806"/>
      <c r="N52" s="807"/>
      <c r="O52" s="910"/>
    </row>
    <row r="53" spans="1:144" ht="28.5" customHeight="1">
      <c r="A53" s="7"/>
      <c r="B53" s="8"/>
      <c r="C53" s="776" t="s">
        <v>174</v>
      </c>
      <c r="D53" s="777"/>
      <c r="E53" s="777"/>
      <c r="F53" s="777"/>
      <c r="G53" s="777" t="e">
        <f t="shared" ref="G53:G59" si="2">F53/E53*100</f>
        <v>#DIV/0!</v>
      </c>
      <c r="H53" s="777"/>
      <c r="I53" s="777"/>
      <c r="J53" s="777"/>
      <c r="K53" s="777"/>
      <c r="L53" s="777"/>
      <c r="M53" s="647"/>
      <c r="N53" s="648"/>
      <c r="O53" s="910"/>
    </row>
    <row r="54" spans="1:144" ht="38.25" customHeight="1">
      <c r="A54" s="7"/>
      <c r="B54" s="8"/>
      <c r="C54" s="776" t="s">
        <v>175</v>
      </c>
      <c r="D54" s="777"/>
      <c r="E54" s="777"/>
      <c r="F54" s="777"/>
      <c r="G54" s="777" t="e">
        <f t="shared" si="2"/>
        <v>#DIV/0!</v>
      </c>
      <c r="H54" s="777"/>
      <c r="I54" s="777"/>
      <c r="J54" s="777"/>
      <c r="K54" s="777"/>
      <c r="L54" s="777"/>
      <c r="M54" s="647"/>
      <c r="N54" s="648"/>
      <c r="O54" s="910"/>
    </row>
    <row r="55" spans="1:144" s="14" customFormat="1" ht="104.25" customHeight="1">
      <c r="A55" s="9"/>
      <c r="B55" s="10" t="s">
        <v>22</v>
      </c>
      <c r="C55" s="649" t="s">
        <v>605</v>
      </c>
      <c r="D55" s="35" t="s">
        <v>333</v>
      </c>
      <c r="E55" s="765">
        <f>1838760</f>
        <v>1838760</v>
      </c>
      <c r="F55" s="765">
        <f>1838760</f>
        <v>1838760</v>
      </c>
      <c r="G55" s="626">
        <f>F55/E55*100</f>
        <v>100</v>
      </c>
      <c r="H55" s="399">
        <f>G55/100</f>
        <v>1</v>
      </c>
      <c r="I55" s="289" t="s">
        <v>176</v>
      </c>
      <c r="J55" s="651" t="s">
        <v>164</v>
      </c>
      <c r="K55" s="652">
        <v>4</v>
      </c>
      <c r="L55" s="652">
        <v>4</v>
      </c>
      <c r="M55" s="651">
        <v>100</v>
      </c>
      <c r="N55" s="254">
        <v>1</v>
      </c>
      <c r="O55" s="910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</row>
    <row r="56" spans="1:144" s="14" customFormat="1" ht="104.25" customHeight="1">
      <c r="A56" s="9"/>
      <c r="B56" s="10" t="s">
        <v>635</v>
      </c>
      <c r="D56" s="35"/>
      <c r="E56" s="650"/>
      <c r="F56" s="650"/>
      <c r="G56" s="626"/>
      <c r="H56" s="399"/>
      <c r="I56" s="633" t="s">
        <v>176</v>
      </c>
      <c r="J56" s="651" t="s">
        <v>164</v>
      </c>
      <c r="K56" s="629">
        <v>4</v>
      </c>
      <c r="L56" s="629">
        <v>4</v>
      </c>
      <c r="M56" s="651">
        <v>100</v>
      </c>
      <c r="N56" s="254">
        <v>1</v>
      </c>
      <c r="O56" s="910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</row>
    <row r="57" spans="1:144" s="74" customFormat="1" ht="25.5" customHeight="1">
      <c r="B57" s="75"/>
      <c r="C57" s="70" t="s">
        <v>40</v>
      </c>
      <c r="D57" s="87"/>
      <c r="E57" s="301">
        <f>SUM(E55)</f>
        <v>1838760</v>
      </c>
      <c r="F57" s="301">
        <f>SUM(F55)</f>
        <v>1838760</v>
      </c>
      <c r="G57" s="482">
        <f>F57/E57*100</f>
        <v>100</v>
      </c>
      <c r="H57" s="456">
        <v>1</v>
      </c>
      <c r="I57" s="77"/>
      <c r="J57" s="77"/>
      <c r="K57" s="262"/>
      <c r="L57" s="262"/>
      <c r="M57" s="484">
        <f>(M55+M56)/2</f>
        <v>100</v>
      </c>
      <c r="N57" s="248">
        <f>M57/100</f>
        <v>1</v>
      </c>
      <c r="O57" s="910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</row>
    <row r="58" spans="1:144" hidden="1">
      <c r="A58" s="7"/>
      <c r="B58" s="8"/>
      <c r="C58" s="776" t="s">
        <v>20</v>
      </c>
      <c r="D58" s="777"/>
      <c r="E58" s="777"/>
      <c r="F58" s="777"/>
      <c r="G58" s="777"/>
      <c r="H58" s="777"/>
      <c r="I58" s="777"/>
      <c r="J58" s="777"/>
      <c r="K58" s="777"/>
      <c r="L58" s="777"/>
      <c r="M58" s="647"/>
      <c r="N58" s="648"/>
      <c r="O58" s="910"/>
    </row>
    <row r="59" spans="1:144" s="14" customFormat="1" ht="38.25" hidden="1">
      <c r="A59" s="9"/>
      <c r="B59" s="10" t="s">
        <v>25</v>
      </c>
      <c r="C59" s="46" t="s">
        <v>26</v>
      </c>
      <c r="D59" s="35" t="s">
        <v>15</v>
      </c>
      <c r="E59" s="638">
        <v>100</v>
      </c>
      <c r="F59" s="638">
        <v>100</v>
      </c>
      <c r="G59" s="626">
        <f t="shared" si="2"/>
        <v>100</v>
      </c>
      <c r="H59" s="399"/>
      <c r="I59" s="46" t="s">
        <v>27</v>
      </c>
      <c r="J59" s="47" t="s">
        <v>12</v>
      </c>
      <c r="K59" s="273">
        <v>71</v>
      </c>
      <c r="L59" s="273">
        <v>76.5</v>
      </c>
      <c r="M59" s="47">
        <f>L59/K59</f>
        <v>1.0774647887323943</v>
      </c>
      <c r="N59" s="254"/>
      <c r="O59" s="910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</row>
    <row r="60" spans="1:144" hidden="1">
      <c r="A60" s="7"/>
      <c r="B60" s="8"/>
      <c r="C60" s="776" t="s">
        <v>28</v>
      </c>
      <c r="D60" s="777"/>
      <c r="E60" s="777"/>
      <c r="F60" s="777"/>
      <c r="G60" s="777"/>
      <c r="H60" s="777"/>
      <c r="I60" s="777"/>
      <c r="J60" s="777"/>
      <c r="K60" s="777"/>
      <c r="L60" s="777"/>
      <c r="M60" s="647"/>
      <c r="N60" s="648"/>
      <c r="O60" s="910"/>
    </row>
    <row r="61" spans="1:144" s="14" customFormat="1" ht="80.25" hidden="1" customHeight="1">
      <c r="A61" s="9"/>
      <c r="B61" s="10" t="s">
        <v>29</v>
      </c>
      <c r="C61" s="654" t="s">
        <v>30</v>
      </c>
      <c r="D61" s="35" t="s">
        <v>15</v>
      </c>
      <c r="E61" s="638">
        <v>3077.58</v>
      </c>
      <c r="F61" s="638">
        <v>3014.92</v>
      </c>
      <c r="G61" s="626">
        <f>F61/E61*100</f>
        <v>97.963984689268841</v>
      </c>
      <c r="H61" s="399"/>
      <c r="I61" s="46" t="s">
        <v>31</v>
      </c>
      <c r="J61" s="47" t="s">
        <v>12</v>
      </c>
      <c r="K61" s="273">
        <v>23.7</v>
      </c>
      <c r="L61" s="273">
        <v>25.2</v>
      </c>
      <c r="M61" s="47">
        <f>L61/K61</f>
        <v>1.0632911392405062</v>
      </c>
      <c r="N61" s="254"/>
      <c r="O61" s="910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</row>
    <row r="62" spans="1:144" s="14" customFormat="1" ht="12.75" hidden="1">
      <c r="A62" s="9"/>
      <c r="B62" s="10" t="s">
        <v>32</v>
      </c>
      <c r="C62" s="46" t="s">
        <v>33</v>
      </c>
      <c r="D62" s="35" t="s">
        <v>15</v>
      </c>
      <c r="E62" s="638">
        <v>302.14999999999998</v>
      </c>
      <c r="F62" s="638">
        <f>193.5+108.45</f>
        <v>301.95</v>
      </c>
      <c r="G62" s="626">
        <f>F62/E62*100</f>
        <v>99.933807711401627</v>
      </c>
      <c r="H62" s="399"/>
      <c r="I62" s="639"/>
      <c r="J62" s="639"/>
      <c r="K62" s="653"/>
      <c r="L62" s="653"/>
      <c r="M62" s="47"/>
      <c r="N62" s="254"/>
      <c r="O62" s="910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</row>
    <row r="63" spans="1:144" hidden="1">
      <c r="A63" s="7"/>
      <c r="B63" s="8"/>
      <c r="C63" s="776" t="s">
        <v>34</v>
      </c>
      <c r="D63" s="777"/>
      <c r="E63" s="777"/>
      <c r="F63" s="777"/>
      <c r="G63" s="777"/>
      <c r="H63" s="777"/>
      <c r="I63" s="777"/>
      <c r="J63" s="777"/>
      <c r="K63" s="777"/>
      <c r="L63" s="777"/>
      <c r="M63" s="647"/>
      <c r="N63" s="648"/>
      <c r="O63" s="910"/>
    </row>
    <row r="64" spans="1:144" s="14" customFormat="1" ht="38.25" hidden="1">
      <c r="A64" s="9"/>
      <c r="B64" s="10" t="s">
        <v>35</v>
      </c>
      <c r="C64" s="46" t="s">
        <v>36</v>
      </c>
      <c r="D64" s="35" t="s">
        <v>15</v>
      </c>
      <c r="E64" s="638">
        <v>493</v>
      </c>
      <c r="F64" s="638">
        <v>160</v>
      </c>
      <c r="G64" s="626">
        <f>F64/E64*100</f>
        <v>32.454361054766736</v>
      </c>
      <c r="H64" s="399"/>
      <c r="I64" s="46"/>
      <c r="J64" s="47"/>
      <c r="K64" s="273"/>
      <c r="L64" s="273"/>
      <c r="M64" s="47"/>
      <c r="N64" s="254"/>
      <c r="O64" s="910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</row>
    <row r="65" spans="1:144" hidden="1">
      <c r="A65" s="7"/>
      <c r="B65" s="8"/>
      <c r="C65" s="776" t="s">
        <v>37</v>
      </c>
      <c r="D65" s="777"/>
      <c r="E65" s="777"/>
      <c r="F65" s="777"/>
      <c r="G65" s="777"/>
      <c r="H65" s="777"/>
      <c r="I65" s="777"/>
      <c r="J65" s="777"/>
      <c r="K65" s="777"/>
      <c r="L65" s="777"/>
      <c r="M65" s="647"/>
      <c r="N65" s="648"/>
      <c r="O65" s="910"/>
    </row>
    <row r="66" spans="1:144" s="14" customFormat="1" ht="38.25" hidden="1">
      <c r="A66" s="9"/>
      <c r="B66" s="10" t="s">
        <v>38</v>
      </c>
      <c r="C66" s="46" t="s">
        <v>39</v>
      </c>
      <c r="D66" s="35" t="s">
        <v>15</v>
      </c>
      <c r="E66" s="638">
        <v>3397.22</v>
      </c>
      <c r="F66" s="638">
        <f>2100.79+1293.07</f>
        <v>3393.8599999999997</v>
      </c>
      <c r="G66" s="626">
        <f>F66/E66*100</f>
        <v>99.901095601697847</v>
      </c>
      <c r="H66" s="399"/>
      <c r="I66" s="46"/>
      <c r="J66" s="47"/>
      <c r="K66" s="273"/>
      <c r="L66" s="273"/>
      <c r="M66" s="47"/>
      <c r="N66" s="254"/>
      <c r="O66" s="910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</row>
    <row r="67" spans="1:144" s="23" customFormat="1" ht="21" hidden="1" customHeight="1">
      <c r="A67" s="20" t="e">
        <f>E67-F67</f>
        <v>#REF!</v>
      </c>
      <c r="B67" s="27"/>
      <c r="C67" s="161" t="s">
        <v>40</v>
      </c>
      <c r="D67" s="422"/>
      <c r="E67" s="645" t="e">
        <f>#REF!+E64+E61+E62+E66+E59</f>
        <v>#REF!</v>
      </c>
      <c r="F67" s="645" t="e">
        <f>#REF!+F64+F61+F62+F66+F59</f>
        <v>#REF!</v>
      </c>
      <c r="G67" s="626" t="e">
        <f>F67/E67*100</f>
        <v>#REF!</v>
      </c>
      <c r="H67" s="399" t="e">
        <f>#REF!/G67*100</f>
        <v>#REF!</v>
      </c>
      <c r="I67" s="434"/>
      <c r="J67" s="130"/>
      <c r="K67" s="646"/>
      <c r="L67" s="646"/>
      <c r="M67" s="655" t="e">
        <f>(M61+#REF!+M59)/3</f>
        <v>#REF!</v>
      </c>
      <c r="N67" s="656" t="e">
        <f>M67*0.4+H67*0.4+'[1]Внесение изменений'!H4*0.2</f>
        <v>#REF!</v>
      </c>
      <c r="O67" s="910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</row>
    <row r="68" spans="1:144" ht="18.75" hidden="1">
      <c r="A68" s="7"/>
      <c r="B68" s="24"/>
      <c r="C68" s="845" t="s">
        <v>41</v>
      </c>
      <c r="D68" s="846"/>
      <c r="E68" s="846"/>
      <c r="F68" s="846"/>
      <c r="G68" s="846"/>
      <c r="H68" s="846"/>
      <c r="I68" s="846"/>
      <c r="J68" s="846"/>
      <c r="K68" s="846"/>
      <c r="L68" s="846"/>
      <c r="M68" s="846"/>
      <c r="N68" s="847"/>
      <c r="O68" s="910"/>
    </row>
    <row r="69" spans="1:144" ht="17.25" hidden="1" customHeight="1">
      <c r="A69" s="7"/>
      <c r="B69" s="8"/>
      <c r="C69" s="776" t="s">
        <v>42</v>
      </c>
      <c r="D69" s="777"/>
      <c r="E69" s="777"/>
      <c r="F69" s="777"/>
      <c r="G69" s="777"/>
      <c r="H69" s="777"/>
      <c r="I69" s="777"/>
      <c r="J69" s="777"/>
      <c r="K69" s="777"/>
      <c r="L69" s="777"/>
      <c r="M69" s="647"/>
      <c r="N69" s="648"/>
      <c r="O69" s="910"/>
    </row>
    <row r="70" spans="1:144" hidden="1">
      <c r="A70" s="7"/>
      <c r="B70" s="8"/>
      <c r="C70" s="776" t="s">
        <v>43</v>
      </c>
      <c r="D70" s="777"/>
      <c r="E70" s="777"/>
      <c r="F70" s="777"/>
      <c r="G70" s="777"/>
      <c r="H70" s="777"/>
      <c r="I70" s="777"/>
      <c r="J70" s="777"/>
      <c r="K70" s="777"/>
      <c r="L70" s="777"/>
      <c r="M70" s="647"/>
      <c r="N70" s="648"/>
      <c r="O70" s="910"/>
    </row>
    <row r="71" spans="1:144" s="14" customFormat="1" ht="76.5" hidden="1" customHeight="1">
      <c r="A71" s="9"/>
      <c r="B71" s="10" t="s">
        <v>44</v>
      </c>
      <c r="C71" s="46" t="s">
        <v>45</v>
      </c>
      <c r="D71" s="35" t="s">
        <v>15</v>
      </c>
      <c r="E71" s="638">
        <v>46036.53</v>
      </c>
      <c r="F71" s="638">
        <f>32872.77+9844.22</f>
        <v>42716.99</v>
      </c>
      <c r="G71" s="626">
        <f>F71/E71*100</f>
        <v>92.789334904259718</v>
      </c>
      <c r="H71" s="399"/>
      <c r="I71" s="46" t="s">
        <v>46</v>
      </c>
      <c r="J71" s="47" t="s">
        <v>12</v>
      </c>
      <c r="K71" s="273">
        <v>100</v>
      </c>
      <c r="L71" s="273">
        <v>100</v>
      </c>
      <c r="M71" s="47">
        <f>L71/K71</f>
        <v>1</v>
      </c>
      <c r="N71" s="254"/>
      <c r="O71" s="910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</row>
    <row r="72" spans="1:144" s="14" customFormat="1" ht="63.75" hidden="1">
      <c r="A72" s="9"/>
      <c r="B72" s="10"/>
      <c r="C72" s="46"/>
      <c r="D72" s="35"/>
      <c r="E72" s="638"/>
      <c r="F72" s="638"/>
      <c r="G72" s="626"/>
      <c r="H72" s="399"/>
      <c r="I72" s="46" t="s">
        <v>47</v>
      </c>
      <c r="J72" s="47" t="s">
        <v>12</v>
      </c>
      <c r="K72" s="273">
        <v>100</v>
      </c>
      <c r="L72" s="273">
        <v>100</v>
      </c>
      <c r="M72" s="47">
        <f>L72/K72</f>
        <v>1</v>
      </c>
      <c r="N72" s="254"/>
      <c r="O72" s="910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</row>
    <row r="73" spans="1:144" s="23" customFormat="1" ht="18.75" hidden="1" customHeight="1">
      <c r="A73" s="20">
        <f>E73-F73</f>
        <v>3319.5400000000009</v>
      </c>
      <c r="B73" s="27"/>
      <c r="C73" s="161" t="s">
        <v>48</v>
      </c>
      <c r="D73" s="422"/>
      <c r="E73" s="645">
        <f>E71</f>
        <v>46036.53</v>
      </c>
      <c r="F73" s="645">
        <f>F71</f>
        <v>42716.99</v>
      </c>
      <c r="G73" s="626">
        <f>F73/E73*100</f>
        <v>92.789334904259718</v>
      </c>
      <c r="H73" s="399" t="e">
        <f>#REF!/G73*100</f>
        <v>#REF!</v>
      </c>
      <c r="I73" s="434"/>
      <c r="J73" s="130"/>
      <c r="K73" s="646"/>
      <c r="L73" s="646"/>
      <c r="M73" s="116">
        <f>(M72+M71)/2</f>
        <v>1</v>
      </c>
      <c r="N73" s="657" t="e">
        <f>M73*0.4+H73*0.4+'[1]Внесение изменений'!H4*0.2</f>
        <v>#REF!</v>
      </c>
      <c r="O73" s="910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</row>
    <row r="74" spans="1:144" ht="18.75" hidden="1">
      <c r="A74" s="7"/>
      <c r="B74" s="24"/>
      <c r="C74" s="845" t="s">
        <v>49</v>
      </c>
      <c r="D74" s="846"/>
      <c r="E74" s="846"/>
      <c r="F74" s="846"/>
      <c r="G74" s="846"/>
      <c r="H74" s="846"/>
      <c r="I74" s="846"/>
      <c r="J74" s="846"/>
      <c r="K74" s="846"/>
      <c r="L74" s="847"/>
      <c r="M74" s="47"/>
      <c r="N74" s="254"/>
      <c r="O74" s="910"/>
    </row>
    <row r="75" spans="1:144" ht="34.5" hidden="1" customHeight="1">
      <c r="A75" s="7"/>
      <c r="B75" s="8"/>
      <c r="C75" s="776" t="s">
        <v>50</v>
      </c>
      <c r="D75" s="777"/>
      <c r="E75" s="777"/>
      <c r="F75" s="777"/>
      <c r="G75" s="777"/>
      <c r="H75" s="777"/>
      <c r="I75" s="777"/>
      <c r="J75" s="777"/>
      <c r="K75" s="777"/>
      <c r="L75" s="777"/>
      <c r="M75" s="647"/>
      <c r="N75" s="648"/>
      <c r="O75" s="910"/>
    </row>
    <row r="76" spans="1:144" ht="25.5" hidden="1" customHeight="1">
      <c r="A76" s="7"/>
      <c r="B76" s="8"/>
      <c r="C76" s="776" t="s">
        <v>51</v>
      </c>
      <c r="D76" s="777"/>
      <c r="E76" s="777"/>
      <c r="F76" s="777"/>
      <c r="G76" s="777"/>
      <c r="H76" s="777"/>
      <c r="I76" s="777"/>
      <c r="J76" s="777"/>
      <c r="K76" s="777"/>
      <c r="L76" s="777"/>
      <c r="M76" s="647"/>
      <c r="N76" s="648"/>
      <c r="O76" s="910"/>
    </row>
    <row r="77" spans="1:144" s="14" customFormat="1" ht="38.25" hidden="1">
      <c r="A77" s="9"/>
      <c r="B77" s="10" t="s">
        <v>52</v>
      </c>
      <c r="C77" s="46" t="s">
        <v>53</v>
      </c>
      <c r="D77" s="35" t="s">
        <v>15</v>
      </c>
      <c r="E77" s="638">
        <v>300</v>
      </c>
      <c r="F77" s="638">
        <v>300</v>
      </c>
      <c r="G77" s="626">
        <f t="shared" ref="G77:G82" si="3">F77/E77*100</f>
        <v>100</v>
      </c>
      <c r="H77" s="399"/>
      <c r="I77" s="46" t="s">
        <v>54</v>
      </c>
      <c r="J77" s="47" t="s">
        <v>23</v>
      </c>
      <c r="K77" s="273">
        <v>9</v>
      </c>
      <c r="L77" s="273">
        <v>7</v>
      </c>
      <c r="M77" s="47">
        <f>L77/K77</f>
        <v>0.77777777777777779</v>
      </c>
      <c r="N77" s="254"/>
      <c r="O77" s="910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</row>
    <row r="78" spans="1:144" hidden="1">
      <c r="A78" s="7"/>
      <c r="B78" s="8"/>
      <c r="C78" s="776" t="s">
        <v>55</v>
      </c>
      <c r="D78" s="777"/>
      <c r="E78" s="777"/>
      <c r="F78" s="777"/>
      <c r="G78" s="777"/>
      <c r="H78" s="777"/>
      <c r="I78" s="777"/>
      <c r="J78" s="777"/>
      <c r="K78" s="777"/>
      <c r="L78" s="777"/>
      <c r="M78" s="47"/>
      <c r="N78" s="648"/>
      <c r="O78" s="910"/>
    </row>
    <row r="79" spans="1:144" s="14" customFormat="1" ht="40.5" hidden="1" customHeight="1">
      <c r="A79" s="9"/>
      <c r="B79" s="10" t="s">
        <v>56</v>
      </c>
      <c r="C79" s="46" t="s">
        <v>57</v>
      </c>
      <c r="D79" s="35" t="s">
        <v>15</v>
      </c>
      <c r="E79" s="638">
        <v>190</v>
      </c>
      <c r="F79" s="638">
        <v>190</v>
      </c>
      <c r="G79" s="626">
        <f t="shared" si="3"/>
        <v>100</v>
      </c>
      <c r="H79" s="399"/>
      <c r="I79" s="46" t="s">
        <v>58</v>
      </c>
      <c r="J79" s="47" t="s">
        <v>12</v>
      </c>
      <c r="K79" s="273">
        <v>0.6</v>
      </c>
      <c r="L79" s="273">
        <v>0.8</v>
      </c>
      <c r="M79" s="47">
        <f>L79/K79</f>
        <v>1.3333333333333335</v>
      </c>
      <c r="N79" s="658"/>
      <c r="O79" s="910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</row>
    <row r="80" spans="1:144" s="14" customFormat="1" ht="70.5" hidden="1" customHeight="1">
      <c r="A80" s="9"/>
      <c r="B80" s="10"/>
      <c r="C80" s="46"/>
      <c r="D80" s="35"/>
      <c r="E80" s="638"/>
      <c r="F80" s="638"/>
      <c r="G80" s="626"/>
      <c r="H80" s="399"/>
      <c r="I80" s="46" t="s">
        <v>59</v>
      </c>
      <c r="J80" s="47" t="s">
        <v>12</v>
      </c>
      <c r="K80" s="273">
        <v>63</v>
      </c>
      <c r="L80" s="273">
        <v>65</v>
      </c>
      <c r="M80" s="47">
        <f>L80/K80</f>
        <v>1.0317460317460319</v>
      </c>
      <c r="N80" s="658"/>
      <c r="O80" s="910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</row>
    <row r="81" spans="1:144" hidden="1">
      <c r="A81" s="7"/>
      <c r="B81" s="8"/>
      <c r="C81" s="659" t="s">
        <v>60</v>
      </c>
      <c r="D81" s="660"/>
      <c r="E81" s="661"/>
      <c r="F81" s="661"/>
      <c r="G81" s="424"/>
      <c r="H81" s="441"/>
      <c r="I81" s="662"/>
      <c r="J81" s="662"/>
      <c r="K81" s="663"/>
      <c r="L81" s="663"/>
      <c r="M81" s="47"/>
      <c r="N81" s="866"/>
      <c r="O81" s="910"/>
    </row>
    <row r="82" spans="1:144" s="14" customFormat="1" ht="25.5" hidden="1">
      <c r="A82" s="9"/>
      <c r="B82" s="10" t="s">
        <v>61</v>
      </c>
      <c r="C82" s="46" t="s">
        <v>62</v>
      </c>
      <c r="D82" s="35" t="s">
        <v>15</v>
      </c>
      <c r="E82" s="638">
        <v>240</v>
      </c>
      <c r="F82" s="638">
        <v>240</v>
      </c>
      <c r="G82" s="627">
        <f t="shared" si="3"/>
        <v>100</v>
      </c>
      <c r="H82" s="442"/>
      <c r="I82" s="664" t="s">
        <v>63</v>
      </c>
      <c r="J82" s="47" t="s">
        <v>12</v>
      </c>
      <c r="K82" s="273">
        <v>6</v>
      </c>
      <c r="L82" s="273">
        <v>7</v>
      </c>
      <c r="M82" s="47">
        <f>L82/K82</f>
        <v>1.1666666666666667</v>
      </c>
      <c r="N82" s="866"/>
      <c r="O82" s="910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</row>
    <row r="83" spans="1:144" s="23" customFormat="1" ht="21" hidden="1" customHeight="1">
      <c r="A83" s="20"/>
      <c r="B83" s="27"/>
      <c r="C83" s="161" t="s">
        <v>64</v>
      </c>
      <c r="D83" s="422"/>
      <c r="E83" s="645">
        <f>E82+E79+E77</f>
        <v>730</v>
      </c>
      <c r="F83" s="645">
        <f>F82+F79+F77</f>
        <v>730</v>
      </c>
      <c r="G83" s="626">
        <f>F83/E83*100</f>
        <v>100</v>
      </c>
      <c r="H83" s="399" t="e">
        <f>#REF!/G83*100</f>
        <v>#REF!</v>
      </c>
      <c r="I83" s="434"/>
      <c r="J83" s="130"/>
      <c r="K83" s="646"/>
      <c r="L83" s="646"/>
      <c r="M83" s="116">
        <f>(M82+M80+M79+M77)/4</f>
        <v>1.0773809523809526</v>
      </c>
      <c r="N83" s="657" t="e">
        <f>M83*0.4+H83*0.4+'[1]Внесение изменений'!H4*0.2</f>
        <v>#REF!</v>
      </c>
      <c r="O83" s="910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</row>
    <row r="84" spans="1:144" ht="18.75" hidden="1">
      <c r="A84" s="7"/>
      <c r="B84" s="24"/>
      <c r="C84" s="845" t="s">
        <v>65</v>
      </c>
      <c r="D84" s="846"/>
      <c r="E84" s="846"/>
      <c r="F84" s="846"/>
      <c r="G84" s="846"/>
      <c r="H84" s="846"/>
      <c r="I84" s="846"/>
      <c r="J84" s="846"/>
      <c r="K84" s="846"/>
      <c r="L84" s="846"/>
      <c r="M84" s="846"/>
      <c r="N84" s="847"/>
      <c r="O84" s="910"/>
    </row>
    <row r="85" spans="1:144" hidden="1">
      <c r="A85" s="7"/>
      <c r="B85" s="8"/>
      <c r="C85" s="776" t="s">
        <v>66</v>
      </c>
      <c r="D85" s="777"/>
      <c r="E85" s="777"/>
      <c r="F85" s="777"/>
      <c r="G85" s="777"/>
      <c r="H85" s="777"/>
      <c r="I85" s="777"/>
      <c r="J85" s="777"/>
      <c r="K85" s="777"/>
      <c r="L85" s="777"/>
      <c r="M85" s="647"/>
      <c r="N85" s="648"/>
      <c r="O85" s="910"/>
    </row>
    <row r="86" spans="1:144" hidden="1">
      <c r="A86" s="7"/>
      <c r="B86" s="8"/>
      <c r="C86" s="776" t="s">
        <v>67</v>
      </c>
      <c r="D86" s="777"/>
      <c r="E86" s="777"/>
      <c r="F86" s="777"/>
      <c r="G86" s="777"/>
      <c r="H86" s="777"/>
      <c r="I86" s="777"/>
      <c r="J86" s="777"/>
      <c r="K86" s="777"/>
      <c r="L86" s="777"/>
      <c r="M86" s="647"/>
      <c r="N86" s="648"/>
      <c r="O86" s="910"/>
    </row>
    <row r="87" spans="1:144" s="14" customFormat="1" ht="57.75" hidden="1" customHeight="1">
      <c r="A87" s="9"/>
      <c r="B87" s="10" t="s">
        <v>68</v>
      </c>
      <c r="C87" s="46" t="s">
        <v>69</v>
      </c>
      <c r="D87" s="35"/>
      <c r="E87" s="638">
        <f>SUM(E88:E89)</f>
        <v>33118.1</v>
      </c>
      <c r="F87" s="638">
        <f>SUM(F88:F89)</f>
        <v>32521.1</v>
      </c>
      <c r="G87" s="626">
        <f>F87/E87*100</f>
        <v>98.197360355817509</v>
      </c>
      <c r="H87" s="399"/>
      <c r="I87" s="46" t="s">
        <v>70</v>
      </c>
      <c r="J87" s="47" t="s">
        <v>12</v>
      </c>
      <c r="K87" s="273">
        <v>100</v>
      </c>
      <c r="L87" s="273">
        <v>100</v>
      </c>
      <c r="M87" s="47">
        <f>L87/K87</f>
        <v>1</v>
      </c>
      <c r="N87" s="254"/>
      <c r="O87" s="910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127"/>
      <c r="EJ87" s="127"/>
      <c r="EK87" s="127"/>
      <c r="EL87" s="127"/>
      <c r="EM87" s="127"/>
      <c r="EN87" s="127"/>
    </row>
    <row r="88" spans="1:144" s="14" customFormat="1" ht="25.5" hidden="1">
      <c r="A88" s="9"/>
      <c r="B88" s="10"/>
      <c r="C88" s="46"/>
      <c r="D88" s="35" t="s">
        <v>15</v>
      </c>
      <c r="E88" s="638">
        <v>26460.1</v>
      </c>
      <c r="F88" s="638">
        <v>25973.98</v>
      </c>
      <c r="G88" s="626">
        <f>F88/E88*100</f>
        <v>98.162818734623087</v>
      </c>
      <c r="H88" s="399"/>
      <c r="I88" s="46" t="s">
        <v>71</v>
      </c>
      <c r="J88" s="47" t="s">
        <v>12</v>
      </c>
      <c r="K88" s="273">
        <v>99.1</v>
      </c>
      <c r="L88" s="273">
        <v>91.2</v>
      </c>
      <c r="M88" s="47">
        <f>L88/K88</f>
        <v>0.92028254288597389</v>
      </c>
      <c r="N88" s="254"/>
      <c r="O88" s="910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127"/>
      <c r="EJ88" s="127"/>
      <c r="EK88" s="127"/>
      <c r="EL88" s="127"/>
      <c r="EM88" s="127"/>
      <c r="EN88" s="127"/>
    </row>
    <row r="89" spans="1:144" s="14" customFormat="1" ht="12.75" hidden="1">
      <c r="A89" s="9"/>
      <c r="B89" s="10"/>
      <c r="C89" s="46"/>
      <c r="D89" s="35" t="s">
        <v>16</v>
      </c>
      <c r="E89" s="638">
        <v>6658</v>
      </c>
      <c r="F89" s="638">
        <v>6547.12</v>
      </c>
      <c r="G89" s="626">
        <f>F89/E89*100</f>
        <v>98.334635025533188</v>
      </c>
      <c r="H89" s="399"/>
      <c r="I89" s="46"/>
      <c r="J89" s="47"/>
      <c r="K89" s="273"/>
      <c r="L89" s="273"/>
      <c r="M89" s="47"/>
      <c r="N89" s="254"/>
      <c r="O89" s="910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127"/>
      <c r="EJ89" s="127"/>
      <c r="EK89" s="127"/>
      <c r="EL89" s="127"/>
      <c r="EM89" s="127"/>
      <c r="EN89" s="127"/>
    </row>
    <row r="90" spans="1:144" s="14" customFormat="1" ht="30.75" hidden="1" customHeight="1">
      <c r="A90" s="9"/>
      <c r="B90" s="10" t="s">
        <v>72</v>
      </c>
      <c r="C90" s="46" t="s">
        <v>73</v>
      </c>
      <c r="D90" s="35" t="s">
        <v>15</v>
      </c>
      <c r="E90" s="638">
        <v>29715.3</v>
      </c>
      <c r="F90" s="638">
        <v>29595.32</v>
      </c>
      <c r="G90" s="626">
        <f>F90/E90*100</f>
        <v>99.596234936211317</v>
      </c>
      <c r="H90" s="399"/>
      <c r="I90" s="46"/>
      <c r="J90" s="47"/>
      <c r="K90" s="273"/>
      <c r="L90" s="273"/>
      <c r="M90" s="47"/>
      <c r="N90" s="254"/>
      <c r="O90" s="910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127"/>
      <c r="EJ90" s="127"/>
      <c r="EK90" s="127"/>
      <c r="EL90" s="127"/>
      <c r="EM90" s="127"/>
      <c r="EN90" s="127"/>
    </row>
    <row r="91" spans="1:144" s="23" customFormat="1" ht="21" hidden="1" customHeight="1">
      <c r="A91" s="20">
        <f>E91-F91</f>
        <v>716.97999999999593</v>
      </c>
      <c r="B91" s="27"/>
      <c r="C91" s="161" t="s">
        <v>74</v>
      </c>
      <c r="D91" s="422"/>
      <c r="E91" s="645">
        <f>E87+E90</f>
        <v>62833.399999999994</v>
      </c>
      <c r="F91" s="645">
        <f>F87+F90</f>
        <v>62116.42</v>
      </c>
      <c r="G91" s="626">
        <f>F91/E91*100</f>
        <v>98.85891898257934</v>
      </c>
      <c r="H91" s="399" t="e">
        <f>#REF!/G91*100</f>
        <v>#REF!</v>
      </c>
      <c r="I91" s="434"/>
      <c r="J91" s="130"/>
      <c r="K91" s="646"/>
      <c r="L91" s="646"/>
      <c r="M91" s="116">
        <f>(M88+M87)/2</f>
        <v>0.96014127144298689</v>
      </c>
      <c r="N91" s="657" t="e">
        <f>M91*0.4+H91*0.4+'[1]Внесение изменений'!H4*0.2</f>
        <v>#REF!</v>
      </c>
      <c r="O91" s="910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</row>
    <row r="92" spans="1:144" ht="18.75" hidden="1">
      <c r="A92" s="7"/>
      <c r="B92" s="24"/>
      <c r="C92" s="845" t="s">
        <v>75</v>
      </c>
      <c r="D92" s="846"/>
      <c r="E92" s="846"/>
      <c r="F92" s="846"/>
      <c r="G92" s="846"/>
      <c r="H92" s="846"/>
      <c r="I92" s="846"/>
      <c r="J92" s="846"/>
      <c r="K92" s="846"/>
      <c r="L92" s="847"/>
      <c r="M92" s="47"/>
      <c r="N92" s="254"/>
      <c r="O92" s="910"/>
    </row>
    <row r="93" spans="1:144" hidden="1">
      <c r="A93" s="7"/>
      <c r="B93" s="8"/>
      <c r="C93" s="776" t="s">
        <v>76</v>
      </c>
      <c r="D93" s="777"/>
      <c r="E93" s="777"/>
      <c r="F93" s="777"/>
      <c r="G93" s="777"/>
      <c r="H93" s="777"/>
      <c r="I93" s="777"/>
      <c r="J93" s="777"/>
      <c r="K93" s="777"/>
      <c r="L93" s="777"/>
      <c r="M93" s="647"/>
      <c r="N93" s="648"/>
      <c r="O93" s="910"/>
    </row>
    <row r="94" spans="1:144" hidden="1">
      <c r="A94" s="7"/>
      <c r="B94" s="8"/>
      <c r="C94" s="776" t="s">
        <v>77</v>
      </c>
      <c r="D94" s="777"/>
      <c r="E94" s="777"/>
      <c r="F94" s="777"/>
      <c r="G94" s="777"/>
      <c r="H94" s="777"/>
      <c r="I94" s="777"/>
      <c r="J94" s="777"/>
      <c r="K94" s="777"/>
      <c r="L94" s="777"/>
      <c r="M94" s="647"/>
      <c r="N94" s="648"/>
      <c r="O94" s="910"/>
    </row>
    <row r="95" spans="1:144" s="14" customFormat="1" ht="58.5" hidden="1" customHeight="1">
      <c r="A95" s="9"/>
      <c r="B95" s="10" t="s">
        <v>78</v>
      </c>
      <c r="C95" s="46" t="s">
        <v>79</v>
      </c>
      <c r="D95" s="35" t="s">
        <v>16</v>
      </c>
      <c r="E95" s="638">
        <v>2399</v>
      </c>
      <c r="F95" s="638">
        <v>2254.98</v>
      </c>
      <c r="G95" s="626">
        <f t="shared" ref="G95:G101" si="4">F95/E95*100</f>
        <v>93.996665277198829</v>
      </c>
      <c r="H95" s="399"/>
      <c r="I95" s="46" t="s">
        <v>80</v>
      </c>
      <c r="J95" s="47" t="s">
        <v>12</v>
      </c>
      <c r="K95" s="273">
        <v>25</v>
      </c>
      <c r="L95" s="273">
        <v>21.5</v>
      </c>
      <c r="M95" s="47">
        <f t="shared" ref="M95:M100" si="5">L95/K95</f>
        <v>0.86</v>
      </c>
      <c r="N95" s="254"/>
      <c r="O95" s="910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127"/>
      <c r="EJ95" s="127"/>
      <c r="EK95" s="127"/>
      <c r="EL95" s="127"/>
      <c r="EM95" s="127"/>
      <c r="EN95" s="127"/>
    </row>
    <row r="96" spans="1:144" s="14" customFormat="1" ht="51" hidden="1">
      <c r="A96" s="9"/>
      <c r="B96" s="10" t="s">
        <v>81</v>
      </c>
      <c r="C96" s="46" t="s">
        <v>82</v>
      </c>
      <c r="D96" s="35" t="s">
        <v>16</v>
      </c>
      <c r="E96" s="638">
        <v>1000</v>
      </c>
      <c r="F96" s="638">
        <v>900</v>
      </c>
      <c r="G96" s="626">
        <f t="shared" si="4"/>
        <v>90</v>
      </c>
      <c r="H96" s="399"/>
      <c r="I96" s="46" t="s">
        <v>83</v>
      </c>
      <c r="J96" s="47" t="s">
        <v>12</v>
      </c>
      <c r="K96" s="273">
        <v>100</v>
      </c>
      <c r="L96" s="273">
        <v>100</v>
      </c>
      <c r="M96" s="47">
        <f t="shared" si="5"/>
        <v>1</v>
      </c>
      <c r="N96" s="254"/>
      <c r="O96" s="910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27"/>
      <c r="DF96" s="127"/>
      <c r="DG96" s="127"/>
      <c r="DH96" s="127"/>
      <c r="DI96" s="127"/>
      <c r="DJ96" s="127"/>
      <c r="DK96" s="127"/>
      <c r="DL96" s="127"/>
      <c r="DM96" s="127"/>
      <c r="DN96" s="127"/>
      <c r="DO96" s="127"/>
      <c r="DP96" s="127"/>
      <c r="DQ96" s="127"/>
      <c r="DR96" s="127"/>
      <c r="DS96" s="127"/>
      <c r="DT96" s="127"/>
      <c r="DU96" s="127"/>
      <c r="DV96" s="127"/>
      <c r="DW96" s="127"/>
      <c r="DX96" s="127"/>
      <c r="DY96" s="127"/>
      <c r="DZ96" s="127"/>
      <c r="EA96" s="127"/>
      <c r="EB96" s="127"/>
      <c r="EC96" s="127"/>
      <c r="ED96" s="127"/>
      <c r="EE96" s="127"/>
      <c r="EF96" s="127"/>
      <c r="EG96" s="127"/>
      <c r="EH96" s="127"/>
      <c r="EI96" s="127"/>
      <c r="EJ96" s="127"/>
      <c r="EK96" s="127"/>
      <c r="EL96" s="127"/>
      <c r="EM96" s="127"/>
      <c r="EN96" s="127"/>
    </row>
    <row r="97" spans="1:145" s="14" customFormat="1" ht="68.25" hidden="1" customHeight="1">
      <c r="A97" s="9"/>
      <c r="B97" s="10" t="s">
        <v>84</v>
      </c>
      <c r="C97" s="46" t="s">
        <v>85</v>
      </c>
      <c r="D97" s="35" t="s">
        <v>16</v>
      </c>
      <c r="E97" s="638">
        <v>1200</v>
      </c>
      <c r="F97" s="638">
        <v>1200</v>
      </c>
      <c r="G97" s="626">
        <f t="shared" si="4"/>
        <v>100</v>
      </c>
      <c r="H97" s="399"/>
      <c r="I97" s="46" t="s">
        <v>86</v>
      </c>
      <c r="J97" s="47" t="s">
        <v>12</v>
      </c>
      <c r="K97" s="273">
        <v>100</v>
      </c>
      <c r="L97" s="273">
        <v>100</v>
      </c>
      <c r="M97" s="47">
        <f t="shared" si="5"/>
        <v>1</v>
      </c>
      <c r="N97" s="254"/>
      <c r="O97" s="910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  <c r="DD97" s="127"/>
      <c r="DE97" s="127"/>
      <c r="DF97" s="127"/>
      <c r="DG97" s="127"/>
      <c r="DH97" s="127"/>
      <c r="DI97" s="127"/>
      <c r="DJ97" s="127"/>
      <c r="DK97" s="127"/>
      <c r="DL97" s="127"/>
      <c r="DM97" s="127"/>
      <c r="DN97" s="127"/>
      <c r="DO97" s="127"/>
      <c r="DP97" s="127"/>
      <c r="DQ97" s="127"/>
      <c r="DR97" s="127"/>
      <c r="DS97" s="127"/>
      <c r="DT97" s="127"/>
      <c r="DU97" s="127"/>
      <c r="DV97" s="127"/>
      <c r="DW97" s="127"/>
      <c r="DX97" s="127"/>
      <c r="DY97" s="127"/>
      <c r="DZ97" s="127"/>
      <c r="EA97" s="127"/>
      <c r="EB97" s="127"/>
      <c r="EC97" s="127"/>
      <c r="ED97" s="127"/>
      <c r="EE97" s="127"/>
      <c r="EF97" s="127"/>
      <c r="EG97" s="127"/>
      <c r="EH97" s="127"/>
      <c r="EI97" s="127"/>
      <c r="EJ97" s="127"/>
      <c r="EK97" s="127"/>
      <c r="EL97" s="127"/>
      <c r="EM97" s="127"/>
      <c r="EN97" s="127"/>
    </row>
    <row r="98" spans="1:145" s="14" customFormat="1" ht="76.5" hidden="1">
      <c r="A98" s="9"/>
      <c r="B98" s="10" t="s">
        <v>87</v>
      </c>
      <c r="C98" s="46" t="s">
        <v>88</v>
      </c>
      <c r="D98" s="35" t="s">
        <v>16</v>
      </c>
      <c r="E98" s="638">
        <v>4417</v>
      </c>
      <c r="F98" s="638">
        <v>3738.23</v>
      </c>
      <c r="G98" s="626">
        <f t="shared" si="4"/>
        <v>84.632782431514613</v>
      </c>
      <c r="H98" s="399"/>
      <c r="I98" s="46" t="s">
        <v>89</v>
      </c>
      <c r="J98" s="47" t="s">
        <v>12</v>
      </c>
      <c r="K98" s="273">
        <v>100</v>
      </c>
      <c r="L98" s="273">
        <v>100</v>
      </c>
      <c r="M98" s="47">
        <f t="shared" si="5"/>
        <v>1</v>
      </c>
      <c r="N98" s="254"/>
      <c r="O98" s="910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  <c r="DD98" s="127"/>
      <c r="DE98" s="127"/>
      <c r="DF98" s="127"/>
      <c r="DG98" s="127"/>
      <c r="DH98" s="127"/>
      <c r="DI98" s="127"/>
      <c r="DJ98" s="127"/>
      <c r="DK98" s="127"/>
      <c r="DL98" s="127"/>
      <c r="DM98" s="127"/>
      <c r="DN98" s="127"/>
      <c r="DO98" s="127"/>
      <c r="DP98" s="127"/>
      <c r="DQ98" s="127"/>
      <c r="DR98" s="127"/>
      <c r="DS98" s="127"/>
      <c r="DT98" s="127"/>
      <c r="DU98" s="127"/>
      <c r="DV98" s="127"/>
      <c r="DW98" s="127"/>
      <c r="DX98" s="127"/>
      <c r="DY98" s="127"/>
      <c r="DZ98" s="127"/>
      <c r="EA98" s="127"/>
      <c r="EB98" s="127"/>
      <c r="EC98" s="127"/>
      <c r="ED98" s="127"/>
      <c r="EE98" s="127"/>
      <c r="EF98" s="127"/>
      <c r="EG98" s="127"/>
      <c r="EH98" s="127"/>
      <c r="EI98" s="127"/>
      <c r="EJ98" s="127"/>
      <c r="EK98" s="127"/>
      <c r="EL98" s="127"/>
      <c r="EM98" s="127"/>
      <c r="EN98" s="127"/>
    </row>
    <row r="99" spans="1:145" s="14" customFormat="1" ht="73.5" hidden="1" customHeight="1">
      <c r="A99" s="9"/>
      <c r="B99" s="10" t="s">
        <v>90</v>
      </c>
      <c r="C99" s="46" t="s">
        <v>91</v>
      </c>
      <c r="D99" s="35" t="s">
        <v>16</v>
      </c>
      <c r="E99" s="638">
        <v>5367</v>
      </c>
      <c r="F99" s="638">
        <v>5321.57</v>
      </c>
      <c r="G99" s="626">
        <f t="shared" si="4"/>
        <v>99.153530836594001</v>
      </c>
      <c r="H99" s="399"/>
      <c r="I99" s="46" t="s">
        <v>92</v>
      </c>
      <c r="J99" s="47" t="s">
        <v>12</v>
      </c>
      <c r="K99" s="273">
        <v>100</v>
      </c>
      <c r="L99" s="273">
        <v>100</v>
      </c>
      <c r="M99" s="47">
        <f t="shared" si="5"/>
        <v>1</v>
      </c>
      <c r="N99" s="254"/>
      <c r="O99" s="910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  <c r="DD99" s="127"/>
      <c r="DE99" s="127"/>
      <c r="DF99" s="127"/>
      <c r="DG99" s="127"/>
      <c r="DH99" s="127"/>
      <c r="DI99" s="127"/>
      <c r="DJ99" s="127"/>
      <c r="DK99" s="127"/>
      <c r="DL99" s="127"/>
      <c r="DM99" s="127"/>
      <c r="DN99" s="127"/>
      <c r="DO99" s="127"/>
      <c r="DP99" s="127"/>
      <c r="DQ99" s="127"/>
      <c r="DR99" s="127"/>
      <c r="DS99" s="127"/>
      <c r="DT99" s="127"/>
      <c r="DU99" s="127"/>
      <c r="DV99" s="127"/>
      <c r="DW99" s="127"/>
      <c r="DX99" s="127"/>
      <c r="DY99" s="127"/>
      <c r="DZ99" s="127"/>
      <c r="EA99" s="127"/>
      <c r="EB99" s="127"/>
      <c r="EC99" s="127"/>
      <c r="ED99" s="127"/>
      <c r="EE99" s="127"/>
      <c r="EF99" s="127"/>
      <c r="EG99" s="127"/>
      <c r="EH99" s="127"/>
      <c r="EI99" s="127"/>
      <c r="EJ99" s="127"/>
      <c r="EK99" s="127"/>
      <c r="EL99" s="127"/>
      <c r="EM99" s="127"/>
      <c r="EN99" s="127"/>
    </row>
    <row r="100" spans="1:145" s="14" customFormat="1" ht="63.75" hidden="1">
      <c r="A100" s="9"/>
      <c r="B100" s="10" t="s">
        <v>93</v>
      </c>
      <c r="C100" s="46" t="s">
        <v>94</v>
      </c>
      <c r="D100" s="35" t="s">
        <v>16</v>
      </c>
      <c r="E100" s="638">
        <v>14134</v>
      </c>
      <c r="F100" s="638">
        <v>14057.95</v>
      </c>
      <c r="G100" s="626">
        <f t="shared" si="4"/>
        <v>99.461935757747284</v>
      </c>
      <c r="H100" s="399"/>
      <c r="I100" s="46" t="s">
        <v>95</v>
      </c>
      <c r="J100" s="47" t="s">
        <v>12</v>
      </c>
      <c r="K100" s="273">
        <v>100</v>
      </c>
      <c r="L100" s="273">
        <v>100</v>
      </c>
      <c r="M100" s="47">
        <f t="shared" si="5"/>
        <v>1</v>
      </c>
      <c r="N100" s="254"/>
      <c r="O100" s="910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  <c r="DD100" s="127"/>
      <c r="DE100" s="127"/>
      <c r="DF100" s="127"/>
      <c r="DG100" s="127"/>
      <c r="DH100" s="127"/>
      <c r="DI100" s="127"/>
      <c r="DJ100" s="127"/>
      <c r="DK100" s="127"/>
      <c r="DL100" s="127"/>
      <c r="DM100" s="127"/>
      <c r="DN100" s="127"/>
      <c r="DO100" s="127"/>
      <c r="DP100" s="127"/>
      <c r="DQ100" s="127"/>
      <c r="DR100" s="127"/>
      <c r="DS100" s="127"/>
      <c r="DT100" s="127"/>
      <c r="DU100" s="127"/>
      <c r="DV100" s="127"/>
      <c r="DW100" s="127"/>
      <c r="DX100" s="127"/>
      <c r="DY100" s="127"/>
      <c r="DZ100" s="127"/>
      <c r="EA100" s="127"/>
      <c r="EB100" s="127"/>
      <c r="EC100" s="127"/>
      <c r="ED100" s="127"/>
      <c r="EE100" s="127"/>
      <c r="EF100" s="127"/>
      <c r="EG100" s="127"/>
      <c r="EH100" s="127"/>
      <c r="EI100" s="127"/>
      <c r="EJ100" s="127"/>
      <c r="EK100" s="127"/>
      <c r="EL100" s="127"/>
      <c r="EM100" s="127"/>
      <c r="EN100" s="127"/>
    </row>
    <row r="101" spans="1:145" s="14" customFormat="1" ht="49.5" hidden="1" customHeight="1">
      <c r="A101" s="9"/>
      <c r="B101" s="10" t="s">
        <v>96</v>
      </c>
      <c r="C101" s="46" t="s">
        <v>97</v>
      </c>
      <c r="D101" s="35" t="s">
        <v>16</v>
      </c>
      <c r="E101" s="638">
        <v>2243</v>
      </c>
      <c r="F101" s="638">
        <v>2220.02</v>
      </c>
      <c r="G101" s="626">
        <f t="shared" si="4"/>
        <v>98.975479268836381</v>
      </c>
      <c r="H101" s="399"/>
      <c r="I101" s="46"/>
      <c r="J101" s="47"/>
      <c r="K101" s="273"/>
      <c r="L101" s="273"/>
      <c r="M101" s="47"/>
      <c r="N101" s="254"/>
      <c r="O101" s="910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P101" s="127"/>
      <c r="DQ101" s="127"/>
      <c r="DR101" s="127"/>
      <c r="DS101" s="127"/>
      <c r="DT101" s="127"/>
      <c r="DU101" s="127"/>
      <c r="DV101" s="127"/>
      <c r="DW101" s="127"/>
      <c r="DX101" s="127"/>
      <c r="DY101" s="127"/>
      <c r="DZ101" s="127"/>
      <c r="EA101" s="127"/>
      <c r="EB101" s="127"/>
      <c r="EC101" s="127"/>
      <c r="ED101" s="127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</row>
    <row r="102" spans="1:145" s="23" customFormat="1" ht="21" hidden="1" customHeight="1">
      <c r="A102" s="20">
        <f>E102-F102</f>
        <v>1067.25</v>
      </c>
      <c r="B102" s="27"/>
      <c r="C102" s="161" t="s">
        <v>98</v>
      </c>
      <c r="D102" s="422"/>
      <c r="E102" s="645">
        <f>SUM(E95:E101)</f>
        <v>30760</v>
      </c>
      <c r="F102" s="645">
        <f>SUM(F95:F101)</f>
        <v>29692.75</v>
      </c>
      <c r="G102" s="626">
        <f>F102/E102*100</f>
        <v>96.530396618985691</v>
      </c>
      <c r="H102" s="399" t="e">
        <f>#REF!/G102*100</f>
        <v>#REF!</v>
      </c>
      <c r="I102" s="434"/>
      <c r="J102" s="130"/>
      <c r="K102" s="646"/>
      <c r="L102" s="646"/>
      <c r="M102" s="116">
        <f>(M100+M99+M98+M97+M96+M95)/6</f>
        <v>0.97666666666666668</v>
      </c>
      <c r="N102" s="665" t="e">
        <f>M102*0.4+H102*0.4+'[1]Внесение изменений'!H4*0.2</f>
        <v>#REF!</v>
      </c>
      <c r="O102" s="910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72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</row>
    <row r="103" spans="1:145" s="64" customFormat="1" ht="27.75" customHeight="1">
      <c r="B103" s="485" t="s">
        <v>494</v>
      </c>
      <c r="C103" s="825" t="s">
        <v>610</v>
      </c>
      <c r="D103" s="826"/>
      <c r="E103" s="826"/>
      <c r="F103" s="826"/>
      <c r="G103" s="826"/>
      <c r="H103" s="826"/>
      <c r="I103" s="826"/>
      <c r="J103" s="826"/>
      <c r="K103" s="826"/>
      <c r="L103" s="826"/>
      <c r="M103" s="827"/>
      <c r="N103" s="720"/>
      <c r="O103" s="910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72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</row>
    <row r="104" spans="1:145" s="65" customFormat="1" ht="21" customHeight="1">
      <c r="B104" s="66"/>
      <c r="C104" s="828" t="s">
        <v>183</v>
      </c>
      <c r="D104" s="829"/>
      <c r="E104" s="829"/>
      <c r="F104" s="829"/>
      <c r="G104" s="829"/>
      <c r="H104" s="829"/>
      <c r="I104" s="829"/>
      <c r="J104" s="829"/>
      <c r="K104" s="829"/>
      <c r="L104" s="829"/>
      <c r="M104" s="829"/>
      <c r="N104" s="830"/>
      <c r="O104" s="910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72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  <c r="EJ104" s="72"/>
      <c r="EK104" s="72"/>
      <c r="EL104" s="72"/>
      <c r="EM104" s="72"/>
      <c r="EN104" s="72"/>
    </row>
    <row r="105" spans="1:145" s="65" customFormat="1" ht="31.5" customHeight="1">
      <c r="B105" s="66"/>
      <c r="C105" s="828" t="s">
        <v>177</v>
      </c>
      <c r="D105" s="829"/>
      <c r="E105" s="829"/>
      <c r="F105" s="829"/>
      <c r="G105" s="829"/>
      <c r="H105" s="829"/>
      <c r="I105" s="829"/>
      <c r="J105" s="829"/>
      <c r="K105" s="829"/>
      <c r="L105" s="829"/>
      <c r="M105" s="829"/>
      <c r="N105" s="830"/>
      <c r="O105" s="910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</row>
    <row r="106" spans="1:145" s="65" customFormat="1" ht="50.25" customHeight="1" thickBot="1">
      <c r="B106" s="67"/>
      <c r="C106" s="872" t="s">
        <v>178</v>
      </c>
      <c r="D106" s="873"/>
      <c r="E106" s="873"/>
      <c r="F106" s="873"/>
      <c r="G106" s="873"/>
      <c r="H106" s="873"/>
      <c r="I106" s="873"/>
      <c r="J106" s="873"/>
      <c r="K106" s="873"/>
      <c r="L106" s="873"/>
      <c r="M106" s="873"/>
      <c r="N106" s="873"/>
      <c r="O106" s="910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</row>
    <row r="107" spans="1:145" s="68" customFormat="1" ht="90.75" customHeight="1">
      <c r="B107" s="224" t="s">
        <v>511</v>
      </c>
      <c r="C107" s="666" t="s">
        <v>612</v>
      </c>
      <c r="D107" s="35">
        <v>10</v>
      </c>
      <c r="E107" s="667">
        <f>9508475.4</f>
        <v>9508475.4000000004</v>
      </c>
      <c r="F107" s="667">
        <f>9506474.97</f>
        <v>9506474.9700000007</v>
      </c>
      <c r="G107" s="47">
        <f>(F107/E107)*100</f>
        <v>99.978961611448241</v>
      </c>
      <c r="H107" s="443">
        <v>1</v>
      </c>
      <c r="I107" s="46" t="s">
        <v>179</v>
      </c>
      <c r="J107" s="152" t="s">
        <v>358</v>
      </c>
      <c r="K107" s="263">
        <v>5</v>
      </c>
      <c r="L107" s="263">
        <v>5</v>
      </c>
      <c r="M107" s="152">
        <v>100</v>
      </c>
      <c r="N107" s="466">
        <v>1</v>
      </c>
      <c r="O107" s="910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72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  <c r="EJ107" s="72"/>
      <c r="EK107" s="72"/>
      <c r="EL107" s="72"/>
      <c r="EM107" s="72"/>
      <c r="EN107" s="72"/>
      <c r="EO107" s="137"/>
    </row>
    <row r="108" spans="1:145" s="68" customFormat="1" ht="129" customHeight="1">
      <c r="B108" s="224" t="s">
        <v>512</v>
      </c>
      <c r="C108" s="641" t="s">
        <v>613</v>
      </c>
      <c r="D108" s="35" t="s">
        <v>331</v>
      </c>
      <c r="E108" s="668">
        <f>2794454.36</f>
        <v>2794454.36</v>
      </c>
      <c r="F108" s="668">
        <f>2785943.89</f>
        <v>2785943.89</v>
      </c>
      <c r="G108" s="47">
        <f t="shared" ref="G108:G113" si="6">(F108/E108)*100</f>
        <v>99.695451458366293</v>
      </c>
      <c r="H108" s="443">
        <v>1</v>
      </c>
      <c r="I108" s="46" t="s">
        <v>180</v>
      </c>
      <c r="J108" s="152" t="s">
        <v>358</v>
      </c>
      <c r="K108" s="263">
        <v>5</v>
      </c>
      <c r="L108" s="263">
        <v>5</v>
      </c>
      <c r="M108" s="152">
        <v>100</v>
      </c>
      <c r="N108" s="466">
        <v>1</v>
      </c>
      <c r="O108" s="910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72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2"/>
      <c r="CB108" s="72"/>
      <c r="CC108" s="72"/>
      <c r="CD108" s="7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72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137"/>
    </row>
    <row r="109" spans="1:145" s="68" customFormat="1" ht="66" customHeight="1">
      <c r="B109" s="224" t="s">
        <v>29</v>
      </c>
      <c r="C109" s="641" t="s">
        <v>614</v>
      </c>
      <c r="D109" s="35" t="s">
        <v>331</v>
      </c>
      <c r="E109" s="668">
        <f>1403920.03</f>
        <v>1403920.03</v>
      </c>
      <c r="F109" s="668">
        <f>1403409.95</f>
        <v>1403409.95</v>
      </c>
      <c r="G109" s="47">
        <f t="shared" si="6"/>
        <v>99.96366744621487</v>
      </c>
      <c r="H109" s="443">
        <v>0.99</v>
      </c>
      <c r="I109" s="46" t="s">
        <v>181</v>
      </c>
      <c r="J109" s="152" t="s">
        <v>358</v>
      </c>
      <c r="K109" s="263">
        <v>5</v>
      </c>
      <c r="L109" s="263">
        <v>5</v>
      </c>
      <c r="M109" s="152">
        <v>100</v>
      </c>
      <c r="N109" s="466">
        <v>1</v>
      </c>
      <c r="O109" s="910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137"/>
    </row>
    <row r="110" spans="1:145" s="68" customFormat="1" ht="66" customHeight="1">
      <c r="B110" s="224" t="s">
        <v>606</v>
      </c>
      <c r="C110" s="642" t="s">
        <v>615</v>
      </c>
      <c r="D110" s="35" t="s">
        <v>331</v>
      </c>
      <c r="E110" s="668">
        <f>30000</f>
        <v>30000</v>
      </c>
      <c r="F110" s="668">
        <f>30000</f>
        <v>30000</v>
      </c>
      <c r="G110" s="47">
        <f t="shared" si="6"/>
        <v>100</v>
      </c>
      <c r="H110" s="443">
        <v>0.99</v>
      </c>
      <c r="I110" s="46" t="s">
        <v>514</v>
      </c>
      <c r="J110" s="152" t="s">
        <v>358</v>
      </c>
      <c r="K110" s="263">
        <v>5</v>
      </c>
      <c r="L110" s="263">
        <v>5</v>
      </c>
      <c r="M110" s="152">
        <v>100</v>
      </c>
      <c r="N110" s="466">
        <v>1</v>
      </c>
      <c r="O110" s="910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137"/>
    </row>
    <row r="111" spans="1:145" s="68" customFormat="1" ht="66" customHeight="1">
      <c r="B111" s="224" t="s">
        <v>607</v>
      </c>
      <c r="C111" s="641" t="s">
        <v>616</v>
      </c>
      <c r="D111" s="35" t="s">
        <v>331</v>
      </c>
      <c r="E111" s="668">
        <f>4314350</f>
        <v>4314350</v>
      </c>
      <c r="F111" s="668">
        <f>4313608.18</f>
        <v>4313608.18</v>
      </c>
      <c r="G111" s="47">
        <f t="shared" si="6"/>
        <v>99.982805752894393</v>
      </c>
      <c r="H111" s="443">
        <v>0.99</v>
      </c>
      <c r="I111" s="46"/>
      <c r="J111" s="152"/>
      <c r="K111" s="263"/>
      <c r="L111" s="263"/>
      <c r="M111" s="152"/>
      <c r="N111" s="466"/>
      <c r="O111" s="910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137"/>
    </row>
    <row r="112" spans="1:145" s="68" customFormat="1" ht="66" customHeight="1">
      <c r="B112" s="224" t="s">
        <v>608</v>
      </c>
      <c r="C112" s="641" t="s">
        <v>617</v>
      </c>
      <c r="D112" s="35" t="s">
        <v>331</v>
      </c>
      <c r="E112" s="668">
        <f>37500</f>
        <v>37500</v>
      </c>
      <c r="F112" s="668">
        <f>37500</f>
        <v>37500</v>
      </c>
      <c r="G112" s="47"/>
      <c r="H112" s="443"/>
      <c r="I112" s="46"/>
      <c r="J112" s="152"/>
      <c r="K112" s="263"/>
      <c r="L112" s="263"/>
      <c r="M112" s="152"/>
      <c r="N112" s="466"/>
      <c r="O112" s="910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72"/>
      <c r="CC112" s="72"/>
      <c r="CD112" s="7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72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137"/>
    </row>
    <row r="113" spans="1:145" s="68" customFormat="1" ht="66" customHeight="1">
      <c r="B113" s="224" t="s">
        <v>611</v>
      </c>
      <c r="C113" s="641" t="s">
        <v>618</v>
      </c>
      <c r="D113" s="35" t="s">
        <v>331</v>
      </c>
      <c r="E113" s="668">
        <f>1926809</f>
        <v>1926809</v>
      </c>
      <c r="F113" s="668">
        <f>1926809</f>
        <v>1926809</v>
      </c>
      <c r="G113" s="47">
        <f t="shared" si="6"/>
        <v>100</v>
      </c>
      <c r="H113" s="443">
        <v>0.99</v>
      </c>
      <c r="I113" s="46"/>
      <c r="J113" s="152"/>
      <c r="K113" s="263"/>
      <c r="L113" s="263"/>
      <c r="M113" s="152"/>
      <c r="N113" s="466"/>
      <c r="O113" s="910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72"/>
      <c r="CC113" s="72"/>
      <c r="CD113" s="7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72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137"/>
    </row>
    <row r="114" spans="1:145" s="56" customFormat="1" ht="24" customHeight="1">
      <c r="A114" s="54"/>
      <c r="B114" s="69"/>
      <c r="C114" s="70" t="s">
        <v>182</v>
      </c>
      <c r="D114" s="403"/>
      <c r="E114" s="486">
        <f>SUM(E107:E113)</f>
        <v>20015508.789999999</v>
      </c>
      <c r="F114" s="486">
        <f>SUM(F107:F113)</f>
        <v>20003745.990000002</v>
      </c>
      <c r="G114" s="88">
        <f>F114/E114*100</f>
        <v>99.94123157136093</v>
      </c>
      <c r="H114" s="498">
        <v>0.99</v>
      </c>
      <c r="I114" s="57"/>
      <c r="J114" s="55"/>
      <c r="K114" s="264"/>
      <c r="L114" s="264"/>
      <c r="M114" s="483">
        <f>(M110+M109+M108+M107)/4</f>
        <v>100</v>
      </c>
      <c r="N114" s="497">
        <f>M114/100</f>
        <v>1</v>
      </c>
      <c r="O114" s="910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72"/>
      <c r="CC114" s="72"/>
      <c r="CD114" s="7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72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228"/>
    </row>
    <row r="115" spans="1:145" s="487" customFormat="1" ht="39" customHeight="1">
      <c r="A115" s="487">
        <f>F115/F135*100</f>
        <v>1702.5429939329758</v>
      </c>
      <c r="B115" s="488"/>
      <c r="C115" s="489" t="s">
        <v>513</v>
      </c>
      <c r="D115" s="488"/>
      <c r="E115" s="490">
        <f>E114+E57+E51</f>
        <v>384052386.98000002</v>
      </c>
      <c r="F115" s="490">
        <f>F114+F57+F51</f>
        <v>379401490.94000006</v>
      </c>
      <c r="G115" s="495">
        <f>F115/E115*100</f>
        <v>98.788994366999688</v>
      </c>
      <c r="H115" s="496">
        <v>0.99</v>
      </c>
      <c r="I115" s="850" t="s">
        <v>813</v>
      </c>
      <c r="J115" s="851"/>
      <c r="K115" s="851"/>
      <c r="L115" s="851"/>
      <c r="M115" s="499">
        <f>(M114+M57+M51)/3</f>
        <v>98.409435653086192</v>
      </c>
      <c r="N115" s="494">
        <f>M115/100</f>
        <v>0.98409435653086197</v>
      </c>
      <c r="O115" s="911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3"/>
      <c r="AC115" s="493"/>
      <c r="AD115" s="493"/>
      <c r="AE115" s="493"/>
      <c r="AF115" s="493"/>
      <c r="AG115" s="493"/>
      <c r="AH115" s="493"/>
      <c r="AI115" s="493"/>
      <c r="AJ115" s="493"/>
      <c r="AK115" s="493"/>
      <c r="AL115" s="493"/>
      <c r="AM115" s="493"/>
      <c r="AN115" s="493"/>
      <c r="AO115" s="493"/>
      <c r="AP115" s="493"/>
      <c r="AQ115" s="493"/>
      <c r="AR115" s="493"/>
      <c r="AS115" s="493"/>
      <c r="AT115" s="493"/>
      <c r="AU115" s="493"/>
      <c r="AV115" s="493"/>
      <c r="AW115" s="493"/>
      <c r="AX115" s="493"/>
      <c r="AY115" s="493"/>
      <c r="AZ115" s="493"/>
      <c r="BA115" s="493"/>
      <c r="BB115" s="493"/>
      <c r="BC115" s="493"/>
      <c r="BD115" s="493"/>
      <c r="BE115" s="493"/>
      <c r="BF115" s="493"/>
      <c r="BG115" s="493"/>
      <c r="BH115" s="493"/>
      <c r="BI115" s="493"/>
      <c r="BJ115" s="493"/>
      <c r="BK115" s="493"/>
      <c r="BL115" s="493"/>
      <c r="BM115" s="493"/>
      <c r="BN115" s="493"/>
      <c r="BO115" s="493"/>
      <c r="BP115" s="493"/>
      <c r="BQ115" s="493"/>
      <c r="BR115" s="493"/>
      <c r="BS115" s="493"/>
      <c r="BT115" s="493"/>
      <c r="BU115" s="493"/>
      <c r="BV115" s="493"/>
      <c r="BW115" s="493"/>
      <c r="BX115" s="493"/>
      <c r="BY115" s="493"/>
      <c r="BZ115" s="493"/>
      <c r="CA115" s="493"/>
      <c r="CB115" s="493"/>
      <c r="CC115" s="493"/>
      <c r="CD115" s="493"/>
      <c r="CE115" s="493"/>
      <c r="CF115" s="493"/>
      <c r="CG115" s="493"/>
      <c r="CH115" s="493"/>
      <c r="CI115" s="493"/>
      <c r="CJ115" s="493"/>
      <c r="CK115" s="493"/>
      <c r="CL115" s="493"/>
      <c r="CM115" s="493"/>
      <c r="CN115" s="493"/>
      <c r="CO115" s="493"/>
      <c r="CP115" s="493"/>
      <c r="CQ115" s="493"/>
      <c r="CR115" s="493"/>
      <c r="CS115" s="493"/>
      <c r="CT115" s="493"/>
      <c r="CU115" s="493"/>
      <c r="CV115" s="493"/>
      <c r="CW115" s="493"/>
      <c r="CX115" s="493"/>
      <c r="CY115" s="493"/>
      <c r="CZ115" s="493"/>
      <c r="DA115" s="493"/>
      <c r="DB115" s="493"/>
      <c r="DC115" s="493"/>
      <c r="DD115" s="493"/>
      <c r="DE115" s="493"/>
      <c r="DF115" s="493"/>
      <c r="DG115" s="493"/>
      <c r="DH115" s="493"/>
      <c r="DI115" s="493"/>
      <c r="DJ115" s="493"/>
      <c r="DK115" s="493"/>
      <c r="DL115" s="493"/>
      <c r="DM115" s="493"/>
      <c r="DN115" s="493"/>
      <c r="DO115" s="493"/>
      <c r="DP115" s="493"/>
      <c r="DQ115" s="493"/>
      <c r="DR115" s="493"/>
      <c r="DS115" s="493"/>
      <c r="DT115" s="493"/>
      <c r="DU115" s="493"/>
      <c r="DV115" s="493"/>
      <c r="DW115" s="493"/>
      <c r="DX115" s="493"/>
      <c r="DY115" s="493"/>
      <c r="DZ115" s="493"/>
      <c r="EA115" s="493"/>
      <c r="EB115" s="493"/>
      <c r="EC115" s="493"/>
      <c r="ED115" s="493"/>
      <c r="EE115" s="493"/>
      <c r="EF115" s="493"/>
      <c r="EG115" s="493"/>
      <c r="EH115" s="493"/>
      <c r="EI115" s="493"/>
      <c r="EJ115" s="493"/>
      <c r="EK115" s="493"/>
      <c r="EL115" s="493"/>
      <c r="EM115" s="493"/>
      <c r="EN115" s="493"/>
    </row>
    <row r="116" spans="1:145" s="187" customFormat="1" ht="18.75">
      <c r="A116" s="187">
        <f>E115-F115</f>
        <v>4650896.0399999619</v>
      </c>
      <c r="B116" s="133"/>
      <c r="C116" s="162" t="s">
        <v>516</v>
      </c>
      <c r="D116" s="500" t="s">
        <v>520</v>
      </c>
      <c r="E116" s="761">
        <f>14274*1000</f>
        <v>14274000</v>
      </c>
      <c r="F116" s="761">
        <f>13798.8*1000</f>
        <v>13798800</v>
      </c>
      <c r="G116" s="397"/>
      <c r="H116" s="442"/>
      <c r="I116" s="867"/>
      <c r="J116" s="868"/>
      <c r="K116" s="868"/>
      <c r="L116" s="868"/>
      <c r="M116" s="60"/>
      <c r="N116" s="469"/>
      <c r="O116" s="912"/>
      <c r="P116" s="383"/>
      <c r="Q116" s="383"/>
      <c r="R116" s="383"/>
      <c r="S116" s="383"/>
      <c r="T116" s="383"/>
      <c r="U116" s="383"/>
      <c r="V116" s="383"/>
      <c r="W116" s="383"/>
      <c r="X116" s="383"/>
      <c r="Y116" s="383"/>
      <c r="Z116" s="383"/>
      <c r="AA116" s="383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  <c r="CP116" s="188"/>
      <c r="CQ116" s="188"/>
      <c r="CR116" s="188"/>
      <c r="CS116" s="188"/>
      <c r="CT116" s="188"/>
      <c r="CU116" s="188"/>
      <c r="CV116" s="188"/>
      <c r="CW116" s="188"/>
      <c r="CX116" s="188"/>
      <c r="CY116" s="188"/>
      <c r="CZ116" s="188"/>
      <c r="DA116" s="188"/>
      <c r="DB116" s="188"/>
      <c r="DC116" s="188"/>
      <c r="DD116" s="188"/>
      <c r="DE116" s="188"/>
      <c r="DF116" s="188"/>
      <c r="DG116" s="188"/>
      <c r="DH116" s="188"/>
      <c r="DI116" s="188"/>
      <c r="DJ116" s="188"/>
      <c r="DK116" s="188"/>
      <c r="DL116" s="188"/>
      <c r="DM116" s="188"/>
      <c r="DN116" s="188"/>
      <c r="DO116" s="188"/>
      <c r="DP116" s="188"/>
      <c r="DQ116" s="188"/>
      <c r="DR116" s="188"/>
      <c r="DS116" s="188"/>
      <c r="DT116" s="188"/>
      <c r="DU116" s="188"/>
      <c r="DV116" s="188"/>
      <c r="DW116" s="188"/>
      <c r="DX116" s="188"/>
      <c r="DY116" s="188"/>
      <c r="DZ116" s="188"/>
      <c r="EA116" s="188"/>
      <c r="EB116" s="188"/>
      <c r="EC116" s="188"/>
      <c r="ED116" s="188"/>
      <c r="EE116" s="188"/>
      <c r="EF116" s="188"/>
      <c r="EG116" s="188"/>
      <c r="EH116" s="188"/>
      <c r="EI116" s="188"/>
      <c r="EJ116" s="188"/>
      <c r="EK116" s="188"/>
      <c r="EL116" s="188"/>
      <c r="EM116" s="188"/>
      <c r="EN116" s="188"/>
    </row>
    <row r="117" spans="1:145" s="187" customFormat="1" ht="18.75">
      <c r="B117" s="133"/>
      <c r="C117" s="162" t="s">
        <v>517</v>
      </c>
      <c r="D117" s="500" t="s">
        <v>329</v>
      </c>
      <c r="E117" s="761">
        <f>244168*1000</f>
        <v>244168000</v>
      </c>
      <c r="F117" s="761">
        <f>240931.2*1000</f>
        <v>240931200</v>
      </c>
      <c r="G117" s="397"/>
      <c r="H117" s="442"/>
      <c r="I117" s="394"/>
      <c r="J117" s="395"/>
      <c r="K117" s="395"/>
      <c r="L117" s="395"/>
      <c r="M117" s="60"/>
      <c r="N117" s="469"/>
      <c r="O117" s="912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88"/>
      <c r="DX117" s="188"/>
      <c r="DY117" s="188"/>
      <c r="DZ117" s="188"/>
      <c r="EA117" s="188"/>
      <c r="EB117" s="188"/>
      <c r="EC117" s="188"/>
      <c r="ED117" s="188"/>
      <c r="EE117" s="188"/>
      <c r="EF117" s="188"/>
      <c r="EG117" s="188"/>
      <c r="EH117" s="188"/>
      <c r="EI117" s="188"/>
      <c r="EJ117" s="188"/>
      <c r="EK117" s="188"/>
      <c r="EL117" s="188"/>
      <c r="EM117" s="188"/>
      <c r="EN117" s="188"/>
    </row>
    <row r="118" spans="1:145" s="187" customFormat="1" ht="31.5">
      <c r="B118" s="133"/>
      <c r="C118" s="162" t="s">
        <v>518</v>
      </c>
      <c r="D118" s="500" t="s">
        <v>521</v>
      </c>
      <c r="E118" s="761">
        <f>121679.3*1000</f>
        <v>121679300</v>
      </c>
      <c r="F118" s="761">
        <f>121110.7*1000</f>
        <v>121110700</v>
      </c>
      <c r="G118" s="397"/>
      <c r="H118" s="442"/>
      <c r="I118" s="394"/>
      <c r="J118" s="395"/>
      <c r="K118" s="395"/>
      <c r="L118" s="395"/>
      <c r="M118" s="60"/>
      <c r="N118" s="469"/>
      <c r="O118" s="912"/>
      <c r="P118" s="383"/>
      <c r="Q118" s="383"/>
      <c r="R118" s="383"/>
      <c r="S118" s="383"/>
      <c r="T118" s="383"/>
      <c r="U118" s="383"/>
      <c r="V118" s="383"/>
      <c r="W118" s="383"/>
      <c r="X118" s="383"/>
      <c r="Y118" s="383"/>
      <c r="Z118" s="383"/>
      <c r="AA118" s="383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88"/>
      <c r="DX118" s="188"/>
      <c r="DY118" s="188"/>
      <c r="DZ118" s="188"/>
      <c r="EA118" s="188"/>
      <c r="EB118" s="188"/>
      <c r="EC118" s="188"/>
      <c r="ED118" s="188"/>
      <c r="EE118" s="188"/>
      <c r="EF118" s="188"/>
      <c r="EG118" s="188"/>
      <c r="EH118" s="188"/>
      <c r="EI118" s="188"/>
      <c r="EJ118" s="188"/>
      <c r="EK118" s="188"/>
      <c r="EL118" s="188"/>
      <c r="EM118" s="188"/>
      <c r="EN118" s="188"/>
    </row>
    <row r="119" spans="1:145" s="187" customFormat="1" ht="18.75">
      <c r="B119" s="133"/>
      <c r="C119" s="162" t="s">
        <v>519</v>
      </c>
      <c r="D119" s="500" t="s">
        <v>510</v>
      </c>
      <c r="E119" s="761">
        <f>3931.1*1000</f>
        <v>3931100</v>
      </c>
      <c r="F119" s="761">
        <f>3561.8*1000</f>
        <v>3561800</v>
      </c>
      <c r="G119" s="397"/>
      <c r="H119" s="442"/>
      <c r="I119" s="867"/>
      <c r="J119" s="868"/>
      <c r="K119" s="868"/>
      <c r="L119" s="868"/>
      <c r="M119" s="60"/>
      <c r="N119" s="469"/>
      <c r="O119" s="912"/>
      <c r="P119" s="382"/>
      <c r="Q119" s="382"/>
      <c r="R119" s="382"/>
      <c r="S119" s="382"/>
      <c r="T119" s="382"/>
      <c r="U119" s="382"/>
      <c r="V119" s="382"/>
      <c r="W119" s="382"/>
      <c r="X119" s="383"/>
      <c r="Y119" s="383"/>
      <c r="Z119" s="383"/>
      <c r="AA119" s="383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  <c r="EM119" s="188"/>
      <c r="EN119" s="188"/>
    </row>
    <row r="120" spans="1:145" s="1" customFormat="1" ht="49.5" customHeight="1">
      <c r="B120" s="184"/>
      <c r="C120" s="869" t="s">
        <v>572</v>
      </c>
      <c r="D120" s="870"/>
      <c r="E120" s="870"/>
      <c r="F120" s="870"/>
      <c r="G120" s="870"/>
      <c r="H120" s="870"/>
      <c r="I120" s="870"/>
      <c r="J120" s="870"/>
      <c r="K120" s="870"/>
      <c r="L120" s="870"/>
      <c r="M120" s="870"/>
      <c r="N120" s="871"/>
      <c r="O120" s="91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2"/>
      <c r="Z120" s="382"/>
      <c r="AA120" s="382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</row>
    <row r="121" spans="1:145" ht="40.5" customHeight="1">
      <c r="A121" s="7"/>
      <c r="B121" s="183" t="s">
        <v>101</v>
      </c>
      <c r="C121" s="841" t="s">
        <v>366</v>
      </c>
      <c r="D121" s="842"/>
      <c r="E121" s="842"/>
      <c r="F121" s="842"/>
      <c r="G121" s="842"/>
      <c r="H121" s="842"/>
      <c r="I121" s="842"/>
      <c r="J121" s="842"/>
      <c r="K121" s="842"/>
      <c r="L121" s="842"/>
      <c r="M121" s="842"/>
      <c r="N121" s="856"/>
      <c r="O121" s="910"/>
    </row>
    <row r="122" spans="1:145" ht="22.5" customHeight="1">
      <c r="A122" s="7"/>
      <c r="B122" s="35"/>
      <c r="C122" s="857" t="s">
        <v>303</v>
      </c>
      <c r="D122" s="858"/>
      <c r="E122" s="858"/>
      <c r="F122" s="858"/>
      <c r="G122" s="858"/>
      <c r="H122" s="858"/>
      <c r="I122" s="858"/>
      <c r="J122" s="858"/>
      <c r="K122" s="858"/>
      <c r="L122" s="858"/>
      <c r="M122" s="858"/>
      <c r="N122" s="859"/>
      <c r="O122" s="910"/>
    </row>
    <row r="123" spans="1:145" ht="23.25" customHeight="1">
      <c r="A123" s="7"/>
      <c r="B123" s="35"/>
      <c r="C123" s="857" t="s">
        <v>304</v>
      </c>
      <c r="D123" s="858"/>
      <c r="E123" s="858"/>
      <c r="F123" s="858"/>
      <c r="G123" s="858"/>
      <c r="H123" s="858"/>
      <c r="I123" s="858"/>
      <c r="J123" s="858"/>
      <c r="K123" s="858"/>
      <c r="L123" s="858"/>
      <c r="M123" s="858"/>
      <c r="N123" s="859"/>
      <c r="O123" s="910"/>
    </row>
    <row r="124" spans="1:145" ht="30.75" customHeight="1">
      <c r="A124" s="7"/>
      <c r="B124" s="35"/>
      <c r="C124" s="857" t="s">
        <v>305</v>
      </c>
      <c r="D124" s="858"/>
      <c r="E124" s="858"/>
      <c r="F124" s="858"/>
      <c r="G124" s="858"/>
      <c r="H124" s="858"/>
      <c r="I124" s="858"/>
      <c r="J124" s="858"/>
      <c r="K124" s="858"/>
      <c r="L124" s="858"/>
      <c r="M124" s="858"/>
      <c r="N124" s="859"/>
      <c r="O124" s="910"/>
    </row>
    <row r="125" spans="1:145" ht="30.75" customHeight="1">
      <c r="A125" s="7"/>
      <c r="B125" s="35"/>
      <c r="C125" s="857" t="s">
        <v>306</v>
      </c>
      <c r="D125" s="858"/>
      <c r="E125" s="858"/>
      <c r="F125" s="858"/>
      <c r="G125" s="858"/>
      <c r="H125" s="858"/>
      <c r="I125" s="858"/>
      <c r="J125" s="858"/>
      <c r="K125" s="858"/>
      <c r="L125" s="858"/>
      <c r="M125" s="858"/>
      <c r="N125" s="859"/>
      <c r="O125" s="910"/>
    </row>
    <row r="126" spans="1:145" s="139" customFormat="1" ht="30.75" customHeight="1">
      <c r="B126" s="246" t="s">
        <v>367</v>
      </c>
      <c r="C126" s="874" t="s">
        <v>369</v>
      </c>
      <c r="D126" s="875"/>
      <c r="E126" s="875"/>
      <c r="F126" s="875"/>
      <c r="G126" s="875"/>
      <c r="H126" s="875"/>
      <c r="I126" s="875"/>
      <c r="J126" s="875"/>
      <c r="K126" s="875"/>
      <c r="L126" s="875"/>
      <c r="M126" s="875"/>
      <c r="N126" s="876"/>
      <c r="O126" s="910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</row>
    <row r="127" spans="1:145" ht="27" customHeight="1">
      <c r="A127" s="7"/>
      <c r="B127" s="35"/>
      <c r="C127" s="857" t="s">
        <v>308</v>
      </c>
      <c r="D127" s="858"/>
      <c r="E127" s="858"/>
      <c r="F127" s="858"/>
      <c r="G127" s="858"/>
      <c r="H127" s="858"/>
      <c r="I127" s="858"/>
      <c r="J127" s="858"/>
      <c r="K127" s="858"/>
      <c r="L127" s="858"/>
      <c r="M127" s="858"/>
      <c r="N127" s="859"/>
      <c r="O127" s="910"/>
    </row>
    <row r="128" spans="1:145" ht="30.75" customHeight="1">
      <c r="A128" s="7"/>
      <c r="B128" s="35"/>
      <c r="C128" s="857" t="s">
        <v>307</v>
      </c>
      <c r="D128" s="858"/>
      <c r="E128" s="858"/>
      <c r="F128" s="858"/>
      <c r="G128" s="858"/>
      <c r="H128" s="858"/>
      <c r="I128" s="858"/>
      <c r="J128" s="858"/>
      <c r="K128" s="858"/>
      <c r="L128" s="858"/>
      <c r="M128" s="858"/>
      <c r="N128" s="859"/>
      <c r="O128" s="910"/>
    </row>
    <row r="129" spans="1:144" ht="80.25" customHeight="1" thickBot="1">
      <c r="A129" s="7"/>
      <c r="B129" s="35" t="s">
        <v>370</v>
      </c>
      <c r="C129" s="208" t="s">
        <v>636</v>
      </c>
      <c r="D129" s="207">
        <v>30</v>
      </c>
      <c r="E129" s="669">
        <f>2865100</f>
        <v>2865100</v>
      </c>
      <c r="F129" s="669">
        <f>2865100</f>
        <v>2865100</v>
      </c>
      <c r="G129" s="366">
        <f>F129/E129*100</f>
        <v>100</v>
      </c>
      <c r="H129" s="399">
        <v>1</v>
      </c>
      <c r="I129" s="672" t="s">
        <v>642</v>
      </c>
      <c r="J129" s="12" t="s">
        <v>12</v>
      </c>
      <c r="K129" s="674">
        <v>0.46</v>
      </c>
      <c r="L129" s="675">
        <v>0.28000000000000003</v>
      </c>
      <c r="M129" s="12">
        <f>L129/K129*100</f>
        <v>60.869565217391312</v>
      </c>
      <c r="N129" s="252">
        <f>M129/100</f>
        <v>0.60869565217391308</v>
      </c>
      <c r="O129" s="53"/>
    </row>
    <row r="130" spans="1:144" ht="72.75" customHeight="1" thickBot="1">
      <c r="A130" s="7"/>
      <c r="B130" s="35" t="s">
        <v>371</v>
      </c>
      <c r="C130" s="208" t="s">
        <v>637</v>
      </c>
      <c r="D130" s="207">
        <v>30</v>
      </c>
      <c r="E130" s="669">
        <f>18556900</f>
        <v>18556900</v>
      </c>
      <c r="F130" s="669">
        <f>18556900</f>
        <v>18556900</v>
      </c>
      <c r="G130" s="587">
        <f>F130/E130*100</f>
        <v>100</v>
      </c>
      <c r="H130" s="399">
        <v>1</v>
      </c>
      <c r="I130" s="673" t="s">
        <v>643</v>
      </c>
      <c r="J130" s="12" t="s">
        <v>167</v>
      </c>
      <c r="K130" s="629">
        <v>555.29999999999995</v>
      </c>
      <c r="L130" s="629">
        <v>555.29999999999995</v>
      </c>
      <c r="M130" s="12">
        <f>L130/K130*100</f>
        <v>100</v>
      </c>
      <c r="N130" s="252">
        <f>M130/100</f>
        <v>1</v>
      </c>
      <c r="O130" s="53"/>
    </row>
    <row r="131" spans="1:144" ht="99" customHeight="1">
      <c r="A131" s="7"/>
      <c r="B131" s="35" t="s">
        <v>372</v>
      </c>
      <c r="C131" s="208" t="s">
        <v>638</v>
      </c>
      <c r="D131" s="207">
        <v>31</v>
      </c>
      <c r="E131" s="670">
        <f>260600</f>
        <v>260600</v>
      </c>
      <c r="F131" s="670">
        <f>260600</f>
        <v>260600</v>
      </c>
      <c r="G131" s="587">
        <f>F131/E131*100</f>
        <v>100</v>
      </c>
      <c r="H131" s="399">
        <v>1</v>
      </c>
      <c r="I131" s="672" t="s">
        <v>644</v>
      </c>
      <c r="J131" s="12" t="s">
        <v>167</v>
      </c>
      <c r="K131" s="629">
        <v>20178</v>
      </c>
      <c r="L131" s="629">
        <v>20178</v>
      </c>
      <c r="M131" s="12">
        <f>L131/K131*100</f>
        <v>100</v>
      </c>
      <c r="N131" s="252">
        <f>M131/100</f>
        <v>1</v>
      </c>
      <c r="O131" s="910"/>
    </row>
    <row r="132" spans="1:144" ht="91.5" customHeight="1">
      <c r="A132" s="7"/>
      <c r="B132" s="35" t="s">
        <v>373</v>
      </c>
      <c r="C132" s="208" t="s">
        <v>639</v>
      </c>
      <c r="D132" s="207">
        <v>34</v>
      </c>
      <c r="E132" s="671">
        <f>200000</f>
        <v>200000</v>
      </c>
      <c r="F132" s="670">
        <f>200000</f>
        <v>200000</v>
      </c>
      <c r="G132" s="587">
        <f>F132/E132*100</f>
        <v>100</v>
      </c>
      <c r="H132" s="399">
        <v>1</v>
      </c>
      <c r="I132" s="628" t="s">
        <v>645</v>
      </c>
      <c r="J132" s="12" t="s">
        <v>12</v>
      </c>
      <c r="K132" s="629">
        <v>66</v>
      </c>
      <c r="L132" s="629">
        <v>47.4</v>
      </c>
      <c r="M132" s="12">
        <f>L132/K132*100</f>
        <v>71.818181818181813</v>
      </c>
      <c r="N132" s="252">
        <f>M132/100</f>
        <v>0.71818181818181814</v>
      </c>
      <c r="O132" s="910"/>
    </row>
    <row r="133" spans="1:144" ht="54" customHeight="1">
      <c r="A133" s="7"/>
      <c r="B133" s="35" t="s">
        <v>374</v>
      </c>
      <c r="C133" s="208" t="s">
        <v>640</v>
      </c>
      <c r="D133" s="207" t="s">
        <v>523</v>
      </c>
      <c r="E133" s="671">
        <f>50000</f>
        <v>50000</v>
      </c>
      <c r="F133" s="670">
        <f>50000</f>
        <v>50000</v>
      </c>
      <c r="G133" s="626">
        <v>100</v>
      </c>
      <c r="H133" s="626">
        <v>1</v>
      </c>
      <c r="I133" s="227"/>
      <c r="J133" s="12"/>
      <c r="K133" s="257"/>
      <c r="L133" s="257"/>
      <c r="M133" s="12"/>
      <c r="N133" s="467"/>
      <c r="O133" s="910"/>
    </row>
    <row r="134" spans="1:144" ht="54" customHeight="1">
      <c r="A134" s="7"/>
      <c r="B134" s="35" t="s">
        <v>375</v>
      </c>
      <c r="C134" s="208" t="s">
        <v>641</v>
      </c>
      <c r="D134" s="207" t="s">
        <v>334</v>
      </c>
      <c r="E134" s="669">
        <f>351800</f>
        <v>351800</v>
      </c>
      <c r="F134" s="669">
        <f>351800</f>
        <v>351800</v>
      </c>
      <c r="G134" s="366">
        <v>100</v>
      </c>
      <c r="H134" s="399">
        <v>1</v>
      </c>
      <c r="I134" s="227"/>
      <c r="J134" s="12"/>
      <c r="K134" s="257"/>
      <c r="L134" s="257"/>
      <c r="M134" s="12"/>
      <c r="N134" s="467"/>
      <c r="O134" s="910"/>
    </row>
    <row r="135" spans="1:144" s="85" customFormat="1" ht="30.75" customHeight="1">
      <c r="B135" s="63"/>
      <c r="C135" s="61" t="s">
        <v>21</v>
      </c>
      <c r="D135" s="401"/>
      <c r="E135" s="305">
        <f>SUM(E129:E134)</f>
        <v>22284400</v>
      </c>
      <c r="F135" s="305">
        <f>SUM(F129:F134)</f>
        <v>22284400</v>
      </c>
      <c r="G135" s="482">
        <v>100</v>
      </c>
      <c r="H135" s="456">
        <v>1</v>
      </c>
      <c r="I135" s="61"/>
      <c r="J135" s="88"/>
      <c r="K135" s="265"/>
      <c r="L135" s="265"/>
      <c r="M135" s="505">
        <f>(M129+M130+M131+M132)/4</f>
        <v>83.171936758893281</v>
      </c>
      <c r="N135" s="248">
        <f>(N129+N130+N131+N132)/4</f>
        <v>0.83171936758893283</v>
      </c>
      <c r="O135" s="910"/>
      <c r="P135" s="382"/>
      <c r="Q135" s="382"/>
      <c r="R135" s="382"/>
      <c r="S135" s="382"/>
      <c r="T135" s="382"/>
      <c r="U135" s="382"/>
      <c r="V135" s="382"/>
      <c r="W135" s="382"/>
      <c r="X135" s="58"/>
      <c r="Y135" s="58"/>
      <c r="Z135" s="58"/>
      <c r="AA135" s="58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BF135" s="72"/>
      <c r="BG135" s="72"/>
      <c r="BH135" s="72"/>
      <c r="BI135" s="72"/>
      <c r="BJ135" s="72"/>
      <c r="BK135" s="72"/>
      <c r="BL135" s="72"/>
      <c r="BM135" s="72"/>
      <c r="BN135" s="72"/>
      <c r="BO135" s="72"/>
      <c r="BP135" s="72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72"/>
      <c r="CC135" s="72"/>
      <c r="CD135" s="72"/>
      <c r="CE135" s="72"/>
      <c r="CF135" s="72"/>
      <c r="CG135" s="72"/>
      <c r="CH135" s="72"/>
      <c r="CI135" s="72"/>
      <c r="CJ135" s="72"/>
      <c r="CK135" s="72"/>
      <c r="CL135" s="72"/>
      <c r="CM135" s="72"/>
      <c r="CN135" s="72"/>
      <c r="CO135" s="72"/>
      <c r="CP135" s="72"/>
      <c r="CQ135" s="72"/>
      <c r="CR135" s="72"/>
      <c r="CS135" s="72"/>
      <c r="CT135" s="72"/>
      <c r="CU135" s="72"/>
      <c r="CV135" s="72"/>
      <c r="CW135" s="72"/>
      <c r="CX135" s="72"/>
      <c r="CY135" s="72"/>
      <c r="CZ135" s="72"/>
      <c r="DA135" s="72"/>
      <c r="DB135" s="72"/>
      <c r="DC135" s="72"/>
      <c r="DD135" s="72"/>
      <c r="DE135" s="72"/>
      <c r="DF135" s="72"/>
      <c r="DG135" s="72"/>
      <c r="DH135" s="72"/>
      <c r="DI135" s="72"/>
      <c r="DJ135" s="72"/>
      <c r="DK135" s="72"/>
      <c r="DL135" s="72"/>
      <c r="DM135" s="72"/>
      <c r="DN135" s="72"/>
      <c r="DO135" s="72"/>
      <c r="DP135" s="72"/>
      <c r="DQ135" s="72"/>
      <c r="DR135" s="72"/>
      <c r="DS135" s="72"/>
      <c r="DT135" s="72"/>
      <c r="DU135" s="72"/>
      <c r="DV135" s="72"/>
      <c r="DW135" s="72"/>
      <c r="DX135" s="72"/>
      <c r="DY135" s="72"/>
      <c r="DZ135" s="72"/>
      <c r="EA135" s="72"/>
      <c r="EB135" s="72"/>
      <c r="EC135" s="72"/>
      <c r="ED135" s="72"/>
      <c r="EE135" s="72"/>
      <c r="EF135" s="72"/>
      <c r="EG135" s="72"/>
      <c r="EH135" s="72"/>
      <c r="EI135" s="72"/>
      <c r="EJ135" s="72"/>
      <c r="EK135" s="72"/>
      <c r="EL135" s="72"/>
      <c r="EM135" s="72"/>
      <c r="EN135" s="72"/>
    </row>
    <row r="136" spans="1:144" ht="36.75" customHeight="1">
      <c r="A136" s="7"/>
      <c r="B136" s="246" t="s">
        <v>368</v>
      </c>
      <c r="C136" s="805" t="s">
        <v>309</v>
      </c>
      <c r="D136" s="806"/>
      <c r="E136" s="806"/>
      <c r="F136" s="806"/>
      <c r="G136" s="806"/>
      <c r="H136" s="806"/>
      <c r="I136" s="806"/>
      <c r="J136" s="806"/>
      <c r="K136" s="806"/>
      <c r="L136" s="806"/>
      <c r="M136" s="806"/>
      <c r="N136" s="807"/>
      <c r="O136" s="910"/>
    </row>
    <row r="137" spans="1:144" ht="29.25" customHeight="1">
      <c r="A137" s="7"/>
      <c r="B137" s="35"/>
      <c r="C137" s="857" t="s">
        <v>310</v>
      </c>
      <c r="D137" s="858"/>
      <c r="E137" s="858"/>
      <c r="F137" s="858"/>
      <c r="G137" s="858"/>
      <c r="H137" s="858"/>
      <c r="I137" s="858"/>
      <c r="J137" s="858"/>
      <c r="K137" s="858"/>
      <c r="L137" s="858"/>
      <c r="M137" s="858"/>
      <c r="N137" s="859"/>
      <c r="O137" s="910"/>
    </row>
    <row r="138" spans="1:144" ht="26.25" customHeight="1">
      <c r="A138" s="7"/>
      <c r="B138" s="35"/>
      <c r="C138" s="857" t="s">
        <v>311</v>
      </c>
      <c r="D138" s="858"/>
      <c r="E138" s="858"/>
      <c r="F138" s="858"/>
      <c r="G138" s="858"/>
      <c r="H138" s="858"/>
      <c r="I138" s="858"/>
      <c r="J138" s="858"/>
      <c r="K138" s="858"/>
      <c r="L138" s="858"/>
      <c r="M138" s="858"/>
      <c r="N138" s="859"/>
      <c r="O138" s="910"/>
    </row>
    <row r="139" spans="1:144" ht="26.25" customHeight="1">
      <c r="A139" s="7"/>
      <c r="B139" s="35"/>
      <c r="C139" s="857" t="s">
        <v>312</v>
      </c>
      <c r="D139" s="858"/>
      <c r="E139" s="858"/>
      <c r="F139" s="858"/>
      <c r="G139" s="858"/>
      <c r="H139" s="858"/>
      <c r="I139" s="858"/>
      <c r="J139" s="858"/>
      <c r="K139" s="858"/>
      <c r="L139" s="858"/>
      <c r="M139" s="858"/>
      <c r="N139" s="859"/>
      <c r="O139" s="910"/>
      <c r="P139" s="355"/>
      <c r="Q139" s="355"/>
      <c r="R139" s="355"/>
      <c r="S139" s="355"/>
      <c r="T139" s="355"/>
      <c r="U139" s="355"/>
      <c r="V139" s="355"/>
      <c r="W139" s="355"/>
    </row>
    <row r="140" spans="1:144" s="14" customFormat="1" ht="97.5" customHeight="1">
      <c r="A140" s="9"/>
      <c r="B140" s="35" t="s">
        <v>376</v>
      </c>
      <c r="C140" s="367" t="s">
        <v>646</v>
      </c>
      <c r="D140" s="10">
        <v>30</v>
      </c>
      <c r="E140" s="298">
        <f>50700</f>
        <v>50700</v>
      </c>
      <c r="F140" s="298">
        <f>50700</f>
        <v>50700</v>
      </c>
      <c r="G140" s="366">
        <f t="shared" ref="G140:G145" si="7">(F140/E140)*100</f>
        <v>100</v>
      </c>
      <c r="H140" s="399">
        <f t="shared" ref="H140:H142" si="8">G140/100</f>
        <v>1</v>
      </c>
      <c r="I140" s="227" t="s">
        <v>313</v>
      </c>
      <c r="J140" s="12" t="s">
        <v>164</v>
      </c>
      <c r="K140" s="257">
        <v>153</v>
      </c>
      <c r="L140" s="257">
        <v>124</v>
      </c>
      <c r="M140" s="13">
        <f>L140/K140*100</f>
        <v>81.045751633986924</v>
      </c>
      <c r="N140" s="396">
        <f>M140/100</f>
        <v>0.81045751633986929</v>
      </c>
      <c r="O140" s="910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  <c r="CW140" s="127"/>
      <c r="CX140" s="127"/>
      <c r="CY140" s="127"/>
      <c r="CZ140" s="127"/>
      <c r="DA140" s="127"/>
      <c r="DB140" s="127"/>
      <c r="DC140" s="127"/>
      <c r="DD140" s="127"/>
      <c r="DE140" s="127"/>
      <c r="DF140" s="127"/>
      <c r="DG140" s="127"/>
      <c r="DH140" s="127"/>
      <c r="DI140" s="127"/>
      <c r="DJ140" s="127"/>
      <c r="DK140" s="127"/>
      <c r="DL140" s="127"/>
      <c r="DM140" s="127"/>
      <c r="DN140" s="127"/>
      <c r="DO140" s="127"/>
      <c r="DP140" s="127"/>
      <c r="DQ140" s="127"/>
      <c r="DR140" s="127"/>
      <c r="DS140" s="127"/>
      <c r="DT140" s="127"/>
      <c r="DU140" s="127"/>
      <c r="DV140" s="127"/>
      <c r="DW140" s="127"/>
      <c r="DX140" s="127"/>
      <c r="DY140" s="127"/>
      <c r="DZ140" s="127"/>
      <c r="EA140" s="127"/>
      <c r="EB140" s="127"/>
      <c r="EC140" s="127"/>
      <c r="ED140" s="127"/>
      <c r="EE140" s="127"/>
      <c r="EF140" s="127"/>
      <c r="EG140" s="127"/>
      <c r="EH140" s="127"/>
      <c r="EI140" s="127"/>
      <c r="EJ140" s="127"/>
      <c r="EK140" s="127"/>
      <c r="EL140" s="127"/>
      <c r="EM140" s="127"/>
      <c r="EN140" s="127"/>
    </row>
    <row r="141" spans="1:144" s="14" customFormat="1" ht="88.5" customHeight="1">
      <c r="A141" s="9"/>
      <c r="B141" s="35" t="s">
        <v>377</v>
      </c>
      <c r="C141" s="367" t="s">
        <v>636</v>
      </c>
      <c r="D141" s="10">
        <v>30</v>
      </c>
      <c r="E141" s="298">
        <f>2499200</f>
        <v>2499200</v>
      </c>
      <c r="F141" s="298">
        <f>2499200</f>
        <v>2499200</v>
      </c>
      <c r="G141" s="397">
        <f t="shared" si="7"/>
        <v>100</v>
      </c>
      <c r="H141" s="399">
        <f t="shared" si="8"/>
        <v>1</v>
      </c>
      <c r="I141" s="227" t="s">
        <v>314</v>
      </c>
      <c r="J141" s="12" t="s">
        <v>23</v>
      </c>
      <c r="K141" s="257">
        <v>16.3</v>
      </c>
      <c r="L141" s="257">
        <v>16.8</v>
      </c>
      <c r="M141" s="13">
        <f>L141/K141*100</f>
        <v>103.06748466257669</v>
      </c>
      <c r="N141" s="598">
        <f>M141/100</f>
        <v>1.0306748466257669</v>
      </c>
      <c r="O141" s="910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  <c r="CW141" s="127"/>
      <c r="CX141" s="127"/>
      <c r="CY141" s="127"/>
      <c r="CZ141" s="127"/>
      <c r="DA141" s="127"/>
      <c r="DB141" s="127"/>
      <c r="DC141" s="127"/>
      <c r="DD141" s="127"/>
      <c r="DE141" s="127"/>
      <c r="DF141" s="127"/>
      <c r="DG141" s="127"/>
      <c r="DH141" s="127"/>
      <c r="DI141" s="127"/>
      <c r="DJ141" s="127"/>
      <c r="DK141" s="127"/>
      <c r="DL141" s="127"/>
      <c r="DM141" s="127"/>
      <c r="DN141" s="127"/>
      <c r="DO141" s="127"/>
      <c r="DP141" s="127"/>
      <c r="DQ141" s="127"/>
      <c r="DR141" s="127"/>
      <c r="DS141" s="127"/>
      <c r="DT141" s="127"/>
      <c r="DU141" s="127"/>
      <c r="DV141" s="127"/>
      <c r="DW141" s="127"/>
      <c r="DX141" s="127"/>
      <c r="DY141" s="127"/>
      <c r="DZ141" s="127"/>
      <c r="EA141" s="127"/>
      <c r="EB141" s="127"/>
      <c r="EC141" s="127"/>
      <c r="ED141" s="127"/>
      <c r="EE141" s="127"/>
      <c r="EF141" s="127"/>
      <c r="EG141" s="127"/>
      <c r="EH141" s="127"/>
      <c r="EI141" s="127"/>
      <c r="EJ141" s="127"/>
      <c r="EK141" s="127"/>
      <c r="EL141" s="127"/>
      <c r="EM141" s="127"/>
      <c r="EN141" s="127"/>
    </row>
    <row r="142" spans="1:144" s="14" customFormat="1" ht="111.75" customHeight="1">
      <c r="A142" s="9"/>
      <c r="B142" s="35" t="s">
        <v>378</v>
      </c>
      <c r="C142" s="367" t="s">
        <v>647</v>
      </c>
      <c r="D142" s="10">
        <v>30</v>
      </c>
      <c r="E142" s="298">
        <f>23291041.79</f>
        <v>23291041.789999999</v>
      </c>
      <c r="F142" s="298">
        <f>23291041.79</f>
        <v>23291041.789999999</v>
      </c>
      <c r="G142" s="397">
        <f t="shared" si="7"/>
        <v>100</v>
      </c>
      <c r="H142" s="399">
        <f t="shared" si="8"/>
        <v>1</v>
      </c>
      <c r="I142" s="367" t="s">
        <v>540</v>
      </c>
      <c r="J142" s="12" t="s">
        <v>164</v>
      </c>
      <c r="K142" s="257">
        <v>33</v>
      </c>
      <c r="L142" s="257">
        <v>36</v>
      </c>
      <c r="M142" s="13">
        <f>L142/K142*100</f>
        <v>109.09090909090908</v>
      </c>
      <c r="N142" s="598">
        <f>M142/100</f>
        <v>1.0909090909090908</v>
      </c>
      <c r="O142" s="53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  <c r="CW142" s="127"/>
      <c r="CX142" s="127"/>
      <c r="CY142" s="127"/>
      <c r="CZ142" s="127"/>
      <c r="DA142" s="127"/>
      <c r="DB142" s="127"/>
      <c r="DC142" s="127"/>
      <c r="DD142" s="127"/>
      <c r="DE142" s="127"/>
      <c r="DF142" s="127"/>
      <c r="DG142" s="127"/>
      <c r="DH142" s="127"/>
      <c r="DI142" s="127"/>
      <c r="DJ142" s="127"/>
      <c r="DK142" s="127"/>
      <c r="DL142" s="127"/>
      <c r="DM142" s="127"/>
      <c r="DN142" s="127"/>
      <c r="DO142" s="127"/>
      <c r="DP142" s="127"/>
      <c r="DQ142" s="127"/>
      <c r="DR142" s="127"/>
      <c r="DS142" s="127"/>
      <c r="DT142" s="127"/>
      <c r="DU142" s="127"/>
      <c r="DV142" s="127"/>
      <c r="DW142" s="127"/>
      <c r="DX142" s="127"/>
      <c r="DY142" s="127"/>
      <c r="DZ142" s="127"/>
      <c r="EA142" s="127"/>
      <c r="EB142" s="127"/>
      <c r="EC142" s="127"/>
      <c r="ED142" s="127"/>
      <c r="EE142" s="127"/>
      <c r="EF142" s="127"/>
      <c r="EG142" s="127"/>
      <c r="EH142" s="127"/>
      <c r="EI142" s="127"/>
      <c r="EJ142" s="127"/>
      <c r="EK142" s="127"/>
      <c r="EL142" s="127"/>
      <c r="EM142" s="127"/>
      <c r="EN142" s="127"/>
    </row>
    <row r="143" spans="1:144" s="14" customFormat="1" ht="116.25" customHeight="1">
      <c r="A143" s="9"/>
      <c r="B143" s="35" t="s">
        <v>379</v>
      </c>
      <c r="C143" s="367" t="s">
        <v>648</v>
      </c>
      <c r="D143" s="10">
        <v>30</v>
      </c>
      <c r="E143" s="298">
        <f>519604.46</f>
        <v>519604.46</v>
      </c>
      <c r="F143" s="298">
        <f>416280.84</f>
        <v>416280.84</v>
      </c>
      <c r="G143" s="397">
        <f t="shared" si="7"/>
        <v>80.114947435208691</v>
      </c>
      <c r="H143" s="399">
        <f>G143/100</f>
        <v>0.80114947435208694</v>
      </c>
      <c r="I143" s="227" t="s">
        <v>315</v>
      </c>
      <c r="J143" s="12" t="s">
        <v>164</v>
      </c>
      <c r="K143" s="257">
        <v>1179</v>
      </c>
      <c r="L143" s="257">
        <v>521</v>
      </c>
      <c r="M143" s="13">
        <f>L143/K143*100</f>
        <v>44.189991518235793</v>
      </c>
      <c r="N143" s="598">
        <f>M143/100</f>
        <v>0.44189991518235794</v>
      </c>
      <c r="O143" s="910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  <c r="CW143" s="127"/>
      <c r="CX143" s="127"/>
      <c r="CY143" s="127"/>
      <c r="CZ143" s="127"/>
      <c r="DA143" s="127"/>
      <c r="DB143" s="127"/>
      <c r="DC143" s="127"/>
      <c r="DD143" s="127"/>
      <c r="DE143" s="127"/>
      <c r="DF143" s="127"/>
      <c r="DG143" s="127"/>
      <c r="DH143" s="127"/>
      <c r="DI143" s="127"/>
      <c r="DJ143" s="127"/>
      <c r="DK143" s="127"/>
      <c r="DL143" s="127"/>
      <c r="DM143" s="127"/>
      <c r="DN143" s="127"/>
      <c r="DO143" s="127"/>
      <c r="DP143" s="127"/>
      <c r="DQ143" s="127"/>
      <c r="DR143" s="127"/>
      <c r="DS143" s="127"/>
      <c r="DT143" s="127"/>
      <c r="DU143" s="127"/>
      <c r="DV143" s="127"/>
      <c r="DW143" s="127"/>
      <c r="DX143" s="127"/>
      <c r="DY143" s="127"/>
      <c r="DZ143" s="127"/>
      <c r="EA143" s="127"/>
      <c r="EB143" s="127"/>
      <c r="EC143" s="127"/>
      <c r="ED143" s="127"/>
      <c r="EE143" s="127"/>
      <c r="EF143" s="127"/>
      <c r="EG143" s="127"/>
      <c r="EH143" s="127"/>
      <c r="EI143" s="127"/>
      <c r="EJ143" s="127"/>
      <c r="EK143" s="127"/>
      <c r="EL143" s="127"/>
      <c r="EM143" s="127"/>
      <c r="EN143" s="127"/>
    </row>
    <row r="144" spans="1:144" s="14" customFormat="1" ht="93.75" customHeight="1">
      <c r="A144" s="9"/>
      <c r="B144" s="35" t="s">
        <v>380</v>
      </c>
      <c r="C144" s="367" t="s">
        <v>649</v>
      </c>
      <c r="D144" s="10">
        <v>30</v>
      </c>
      <c r="E144" s="298">
        <f>19004500</f>
        <v>19004500</v>
      </c>
      <c r="F144" s="298">
        <f>19004500</f>
        <v>19004500</v>
      </c>
      <c r="G144" s="397">
        <f t="shared" si="7"/>
        <v>100</v>
      </c>
      <c r="H144" s="399">
        <f t="shared" ref="H144:H145" si="9">G144/100</f>
        <v>1</v>
      </c>
      <c r="I144" s="367" t="s">
        <v>539</v>
      </c>
      <c r="J144" s="12" t="s">
        <v>23</v>
      </c>
      <c r="K144" s="257">
        <v>1</v>
      </c>
      <c r="L144" s="257">
        <v>3</v>
      </c>
      <c r="M144" s="13">
        <f>L144/K144*100</f>
        <v>300</v>
      </c>
      <c r="N144" s="598">
        <f>M144/100</f>
        <v>3</v>
      </c>
      <c r="O144" s="910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  <c r="CW144" s="127"/>
      <c r="CX144" s="127"/>
      <c r="CY144" s="127"/>
      <c r="CZ144" s="127"/>
      <c r="DA144" s="127"/>
      <c r="DB144" s="127"/>
      <c r="DC144" s="127"/>
      <c r="DD144" s="127"/>
      <c r="DE144" s="127"/>
      <c r="DF144" s="127"/>
      <c r="DG144" s="127"/>
      <c r="DH144" s="127"/>
      <c r="DI144" s="127"/>
      <c r="DJ144" s="127"/>
      <c r="DK144" s="127"/>
      <c r="DL144" s="127"/>
      <c r="DM144" s="127"/>
      <c r="DN144" s="127"/>
      <c r="DO144" s="127"/>
      <c r="DP144" s="127"/>
      <c r="DQ144" s="127"/>
      <c r="DR144" s="127"/>
      <c r="DS144" s="127"/>
      <c r="DT144" s="127"/>
      <c r="DU144" s="127"/>
      <c r="DV144" s="127"/>
      <c r="DW144" s="127"/>
      <c r="DX144" s="127"/>
      <c r="DY144" s="127"/>
      <c r="DZ144" s="127"/>
      <c r="EA144" s="127"/>
      <c r="EB144" s="127"/>
      <c r="EC144" s="127"/>
      <c r="ED144" s="127"/>
      <c r="EE144" s="127"/>
      <c r="EF144" s="127"/>
      <c r="EG144" s="127"/>
      <c r="EH144" s="127"/>
      <c r="EI144" s="127"/>
      <c r="EJ144" s="127"/>
      <c r="EK144" s="127"/>
      <c r="EL144" s="127"/>
      <c r="EM144" s="127"/>
      <c r="EN144" s="127"/>
    </row>
    <row r="145" spans="1:144" s="14" customFormat="1" ht="70.5" customHeight="1">
      <c r="A145" s="9"/>
      <c r="B145" s="35" t="s">
        <v>381</v>
      </c>
      <c r="C145" s="367" t="s">
        <v>650</v>
      </c>
      <c r="D145" s="10">
        <v>30</v>
      </c>
      <c r="E145" s="671">
        <f>2795900</f>
        <v>2795900</v>
      </c>
      <c r="F145" s="671">
        <f>2795900</f>
        <v>2795900</v>
      </c>
      <c r="G145" s="397">
        <f t="shared" si="7"/>
        <v>100</v>
      </c>
      <c r="H145" s="399">
        <f t="shared" si="9"/>
        <v>1</v>
      </c>
      <c r="I145" s="227"/>
      <c r="J145" s="12"/>
      <c r="K145" s="257"/>
      <c r="L145" s="257"/>
      <c r="M145" s="13"/>
      <c r="N145" s="396"/>
      <c r="O145" s="53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  <c r="CW145" s="127"/>
      <c r="CX145" s="127"/>
      <c r="CY145" s="127"/>
      <c r="CZ145" s="127"/>
      <c r="DA145" s="127"/>
      <c r="DB145" s="127"/>
      <c r="DC145" s="127"/>
      <c r="DD145" s="127"/>
      <c r="DE145" s="127"/>
      <c r="DF145" s="127"/>
      <c r="DG145" s="127"/>
      <c r="DH145" s="127"/>
      <c r="DI145" s="127"/>
      <c r="DJ145" s="127"/>
      <c r="DK145" s="127"/>
      <c r="DL145" s="127"/>
      <c r="DM145" s="127"/>
      <c r="DN145" s="127"/>
      <c r="DO145" s="127"/>
      <c r="DP145" s="127"/>
      <c r="DQ145" s="127"/>
      <c r="DR145" s="127"/>
      <c r="DS145" s="127"/>
      <c r="DT145" s="127"/>
      <c r="DU145" s="127"/>
      <c r="DV145" s="127"/>
      <c r="DW145" s="127"/>
      <c r="DX145" s="127"/>
      <c r="DY145" s="127"/>
      <c r="DZ145" s="127"/>
      <c r="EA145" s="127"/>
      <c r="EB145" s="127"/>
      <c r="EC145" s="127"/>
      <c r="ED145" s="127"/>
      <c r="EE145" s="127"/>
      <c r="EF145" s="127"/>
      <c r="EG145" s="127"/>
      <c r="EH145" s="127"/>
      <c r="EI145" s="127"/>
      <c r="EJ145" s="127"/>
      <c r="EK145" s="127"/>
      <c r="EL145" s="127"/>
      <c r="EM145" s="127"/>
      <c r="EN145" s="127"/>
    </row>
    <row r="146" spans="1:144" s="85" customFormat="1" ht="30.75" customHeight="1">
      <c r="A146" s="85">
        <f>E146-F146</f>
        <v>103323.62000000477</v>
      </c>
      <c r="B146" s="63"/>
      <c r="C146" s="61" t="s">
        <v>166</v>
      </c>
      <c r="D146" s="401"/>
      <c r="E146" s="503">
        <f>E140+E141+E142+E143+E144+E145</f>
        <v>48160946.25</v>
      </c>
      <c r="F146" s="503">
        <f>F140+F141+F142+F143+F144+F145</f>
        <v>48057622.629999995</v>
      </c>
      <c r="G146" s="503">
        <f>F146/E146*100</f>
        <v>99.785461814924361</v>
      </c>
      <c r="H146" s="456">
        <v>0.99</v>
      </c>
      <c r="I146" s="61"/>
      <c r="J146" s="88"/>
      <c r="K146" s="265"/>
      <c r="L146" s="265"/>
      <c r="M146" s="505">
        <f>(M144+M143+M142+M141+M140)/5</f>
        <v>127.4788273811417</v>
      </c>
      <c r="N146" s="505">
        <f>M146/100</f>
        <v>1.2747882738114169</v>
      </c>
      <c r="O146" s="910"/>
      <c r="P146" s="382"/>
      <c r="Q146" s="382"/>
      <c r="R146" s="382"/>
      <c r="S146" s="382"/>
      <c r="T146" s="382"/>
      <c r="U146" s="382"/>
      <c r="V146" s="382"/>
      <c r="W146" s="382"/>
      <c r="X146" s="58"/>
      <c r="Y146" s="58"/>
      <c r="Z146" s="58"/>
      <c r="AA146" s="58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/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72"/>
      <c r="CC146" s="72"/>
      <c r="CD146" s="72"/>
      <c r="CE146" s="72"/>
      <c r="CF146" s="72"/>
      <c r="CG146" s="72"/>
      <c r="CH146" s="72"/>
      <c r="CI146" s="72"/>
      <c r="CJ146" s="72"/>
      <c r="CK146" s="72"/>
      <c r="CL146" s="72"/>
      <c r="CM146" s="72"/>
      <c r="CN146" s="72"/>
      <c r="CO146" s="72"/>
      <c r="CP146" s="72"/>
      <c r="CQ146" s="72"/>
      <c r="CR146" s="72"/>
      <c r="CS146" s="72"/>
      <c r="CT146" s="72"/>
      <c r="CU146" s="72"/>
      <c r="CV146" s="72"/>
      <c r="CW146" s="72"/>
      <c r="CX146" s="72"/>
      <c r="CY146" s="72"/>
      <c r="CZ146" s="72"/>
      <c r="DA146" s="72"/>
      <c r="DB146" s="72"/>
      <c r="DC146" s="72"/>
      <c r="DD146" s="72"/>
      <c r="DE146" s="72"/>
      <c r="DF146" s="72"/>
      <c r="DG146" s="72"/>
      <c r="DH146" s="72"/>
      <c r="DI146" s="72"/>
      <c r="DJ146" s="72"/>
      <c r="DK146" s="72"/>
      <c r="DL146" s="72"/>
      <c r="DM146" s="72"/>
      <c r="DN146" s="72"/>
      <c r="DO146" s="72"/>
      <c r="DP146" s="72"/>
      <c r="DQ146" s="72"/>
      <c r="DR146" s="72"/>
      <c r="DS146" s="72"/>
      <c r="DT146" s="72"/>
      <c r="DU146" s="72"/>
      <c r="DV146" s="72"/>
      <c r="DW146" s="72"/>
      <c r="DX146" s="72"/>
      <c r="DY146" s="72"/>
      <c r="DZ146" s="72"/>
      <c r="EA146" s="72"/>
      <c r="EB146" s="72"/>
      <c r="EC146" s="72"/>
      <c r="ED146" s="72"/>
      <c r="EE146" s="72"/>
      <c r="EF146" s="72"/>
      <c r="EG146" s="72"/>
      <c r="EH146" s="72"/>
      <c r="EI146" s="72"/>
      <c r="EJ146" s="72"/>
      <c r="EK146" s="72"/>
      <c r="EL146" s="72"/>
      <c r="EM146" s="72"/>
      <c r="EN146" s="72"/>
    </row>
    <row r="147" spans="1:144" ht="42" customHeight="1">
      <c r="A147" s="7"/>
      <c r="B147" s="246" t="s">
        <v>382</v>
      </c>
      <c r="C147" s="805" t="s">
        <v>316</v>
      </c>
      <c r="D147" s="806"/>
      <c r="E147" s="806"/>
      <c r="F147" s="806"/>
      <c r="G147" s="806"/>
      <c r="H147" s="806"/>
      <c r="I147" s="806"/>
      <c r="J147" s="806"/>
      <c r="K147" s="806"/>
      <c r="L147" s="806"/>
      <c r="M147" s="806"/>
      <c r="N147" s="807"/>
      <c r="O147" s="910"/>
    </row>
    <row r="148" spans="1:144" ht="31.5" customHeight="1">
      <c r="A148" s="7"/>
      <c r="B148" s="35"/>
      <c r="C148" s="857" t="s">
        <v>317</v>
      </c>
      <c r="D148" s="858"/>
      <c r="E148" s="858"/>
      <c r="F148" s="858"/>
      <c r="G148" s="858"/>
      <c r="H148" s="858"/>
      <c r="I148" s="858"/>
      <c r="J148" s="858"/>
      <c r="K148" s="858"/>
      <c r="L148" s="858"/>
      <c r="M148" s="858"/>
      <c r="N148" s="859"/>
      <c r="O148" s="910"/>
    </row>
    <row r="149" spans="1:144" ht="26.25" customHeight="1">
      <c r="A149" s="7"/>
      <c r="B149" s="35"/>
      <c r="C149" s="857" t="s">
        <v>318</v>
      </c>
      <c r="D149" s="858"/>
      <c r="E149" s="858"/>
      <c r="F149" s="858"/>
      <c r="G149" s="858"/>
      <c r="H149" s="858"/>
      <c r="I149" s="858"/>
      <c r="J149" s="858"/>
      <c r="K149" s="858"/>
      <c r="L149" s="858"/>
      <c r="M149" s="858"/>
      <c r="N149" s="859"/>
      <c r="O149" s="910"/>
    </row>
    <row r="150" spans="1:144" ht="26.25" customHeight="1">
      <c r="A150" s="7"/>
      <c r="B150" s="35"/>
      <c r="C150" s="857" t="s">
        <v>319</v>
      </c>
      <c r="D150" s="858"/>
      <c r="E150" s="858"/>
      <c r="F150" s="858"/>
      <c r="G150" s="858"/>
      <c r="H150" s="858"/>
      <c r="I150" s="858"/>
      <c r="J150" s="858"/>
      <c r="K150" s="858"/>
      <c r="L150" s="858"/>
      <c r="M150" s="858"/>
      <c r="N150" s="859"/>
      <c r="O150" s="910"/>
    </row>
    <row r="151" spans="1:144" ht="26.25" customHeight="1">
      <c r="A151" s="7"/>
      <c r="B151" s="35"/>
      <c r="C151" s="857" t="s">
        <v>320</v>
      </c>
      <c r="D151" s="858"/>
      <c r="E151" s="858"/>
      <c r="F151" s="858"/>
      <c r="G151" s="858"/>
      <c r="H151" s="858"/>
      <c r="I151" s="858"/>
      <c r="J151" s="858"/>
      <c r="K151" s="858"/>
      <c r="L151" s="858"/>
      <c r="M151" s="858"/>
      <c r="N151" s="859"/>
      <c r="O151" s="910"/>
    </row>
    <row r="152" spans="1:144" ht="38.25" customHeight="1">
      <c r="A152" s="7"/>
      <c r="B152" s="35"/>
      <c r="C152" s="857" t="s">
        <v>321</v>
      </c>
      <c r="D152" s="858"/>
      <c r="E152" s="858"/>
      <c r="F152" s="858"/>
      <c r="G152" s="858"/>
      <c r="H152" s="858"/>
      <c r="I152" s="858"/>
      <c r="J152" s="858"/>
      <c r="K152" s="858"/>
      <c r="L152" s="858"/>
      <c r="M152" s="858"/>
      <c r="N152" s="859"/>
      <c r="O152" s="910"/>
      <c r="P152" s="355"/>
      <c r="Q152" s="355"/>
      <c r="R152" s="355"/>
      <c r="S152" s="355"/>
      <c r="T152" s="355"/>
      <c r="U152" s="355"/>
      <c r="V152" s="355"/>
      <c r="W152" s="355"/>
    </row>
    <row r="153" spans="1:144" s="14" customFormat="1" ht="99" customHeight="1">
      <c r="A153" s="9"/>
      <c r="B153" s="35" t="s">
        <v>383</v>
      </c>
      <c r="C153" s="367" t="s">
        <v>651</v>
      </c>
      <c r="D153" s="10" t="s">
        <v>331</v>
      </c>
      <c r="E153" s="677">
        <f>359300</f>
        <v>359300</v>
      </c>
      <c r="F153" s="677">
        <f>359300</f>
        <v>359300</v>
      </c>
      <c r="G153" s="397">
        <f>(F153/E153)*100</f>
        <v>100</v>
      </c>
      <c r="H153" s="399">
        <f>G153/100</f>
        <v>1</v>
      </c>
      <c r="I153" s="367" t="s">
        <v>657</v>
      </c>
      <c r="J153" s="12" t="s">
        <v>12</v>
      </c>
      <c r="K153" s="257">
        <v>50</v>
      </c>
      <c r="L153" s="257">
        <v>25</v>
      </c>
      <c r="M153" s="13">
        <f t="shared" ref="M153:M158" si="10">L153/K153*100</f>
        <v>50</v>
      </c>
      <c r="N153" s="396">
        <f t="shared" ref="N153:N158" si="11">M153/100</f>
        <v>0.5</v>
      </c>
      <c r="O153" s="910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  <c r="CW153" s="127"/>
      <c r="CX153" s="127"/>
      <c r="CY153" s="127"/>
      <c r="CZ153" s="127"/>
      <c r="DA153" s="127"/>
      <c r="DB153" s="127"/>
      <c r="DC153" s="127"/>
      <c r="DD153" s="127"/>
      <c r="DE153" s="127"/>
      <c r="DF153" s="127"/>
      <c r="DG153" s="127"/>
      <c r="DH153" s="127"/>
      <c r="DI153" s="127"/>
      <c r="DJ153" s="127"/>
      <c r="DK153" s="127"/>
      <c r="DL153" s="127"/>
      <c r="DM153" s="127"/>
      <c r="DN153" s="127"/>
      <c r="DO153" s="127"/>
      <c r="DP153" s="127"/>
      <c r="DQ153" s="127"/>
      <c r="DR153" s="127"/>
      <c r="DS153" s="127"/>
      <c r="DT153" s="127"/>
      <c r="DU153" s="127"/>
      <c r="DV153" s="127"/>
      <c r="DW153" s="127"/>
      <c r="DX153" s="127"/>
      <c r="DY153" s="127"/>
      <c r="DZ153" s="127"/>
      <c r="EA153" s="127"/>
      <c r="EB153" s="127"/>
      <c r="EC153" s="127"/>
      <c r="ED153" s="127"/>
      <c r="EE153" s="127"/>
      <c r="EF153" s="127"/>
      <c r="EG153" s="127"/>
      <c r="EH153" s="127"/>
      <c r="EI153" s="127"/>
      <c r="EJ153" s="127"/>
      <c r="EK153" s="127"/>
      <c r="EL153" s="127"/>
      <c r="EM153" s="127"/>
      <c r="EN153" s="127"/>
    </row>
    <row r="154" spans="1:144" s="14" customFormat="1" ht="78" customHeight="1">
      <c r="A154" s="9"/>
      <c r="B154" s="35" t="s">
        <v>384</v>
      </c>
      <c r="C154" s="367" t="s">
        <v>652</v>
      </c>
      <c r="D154" s="10" t="s">
        <v>331</v>
      </c>
      <c r="E154" s="671">
        <f>117750</f>
        <v>117750</v>
      </c>
      <c r="F154" s="671">
        <f>117750</f>
        <v>117750</v>
      </c>
      <c r="G154" s="397">
        <f>(F154/E154)*100</f>
        <v>100</v>
      </c>
      <c r="H154" s="399">
        <f t="shared" ref="H154:H156" si="12">G154/100</f>
        <v>1</v>
      </c>
      <c r="I154" s="227" t="s">
        <v>322</v>
      </c>
      <c r="J154" s="12" t="s">
        <v>164</v>
      </c>
      <c r="K154" s="257">
        <v>37</v>
      </c>
      <c r="L154" s="257">
        <v>37</v>
      </c>
      <c r="M154" s="13">
        <f t="shared" si="10"/>
        <v>100</v>
      </c>
      <c r="N154" s="598">
        <f t="shared" si="11"/>
        <v>1</v>
      </c>
      <c r="O154" s="910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  <c r="CW154" s="127"/>
      <c r="CX154" s="127"/>
      <c r="CY154" s="127"/>
      <c r="CZ154" s="127"/>
      <c r="DA154" s="127"/>
      <c r="DB154" s="127"/>
      <c r="DC154" s="127"/>
      <c r="DD154" s="127"/>
      <c r="DE154" s="127"/>
      <c r="DF154" s="127"/>
      <c r="DG154" s="127"/>
      <c r="DH154" s="127"/>
      <c r="DI154" s="127"/>
      <c r="DJ154" s="127"/>
      <c r="DK154" s="127"/>
      <c r="DL154" s="127"/>
      <c r="DM154" s="127"/>
      <c r="DN154" s="127"/>
      <c r="DO154" s="127"/>
      <c r="DP154" s="127"/>
      <c r="DQ154" s="127"/>
      <c r="DR154" s="127"/>
      <c r="DS154" s="127"/>
      <c r="DT154" s="127"/>
      <c r="DU154" s="127"/>
      <c r="DV154" s="127"/>
      <c r="DW154" s="127"/>
      <c r="DX154" s="127"/>
      <c r="DY154" s="127"/>
      <c r="DZ154" s="127"/>
      <c r="EA154" s="127"/>
      <c r="EB154" s="127"/>
      <c r="EC154" s="127"/>
      <c r="ED154" s="127"/>
      <c r="EE154" s="127"/>
      <c r="EF154" s="127"/>
      <c r="EG154" s="127"/>
      <c r="EH154" s="127"/>
      <c r="EI154" s="127"/>
      <c r="EJ154" s="127"/>
      <c r="EK154" s="127"/>
      <c r="EL154" s="127"/>
      <c r="EM154" s="127"/>
      <c r="EN154" s="127"/>
    </row>
    <row r="155" spans="1:144" s="14" customFormat="1" ht="86.25" customHeight="1">
      <c r="A155" s="9"/>
      <c r="B155" s="35" t="s">
        <v>385</v>
      </c>
      <c r="C155" s="367" t="s">
        <v>653</v>
      </c>
      <c r="D155" s="10" t="s">
        <v>333</v>
      </c>
      <c r="E155" s="671">
        <f>1123100</f>
        <v>1123100</v>
      </c>
      <c r="F155" s="671">
        <f>1084105.15</f>
        <v>1084105.1499999999</v>
      </c>
      <c r="G155" s="397">
        <f>(F155/E155)*100</f>
        <v>96.527927165880143</v>
      </c>
      <c r="H155" s="399">
        <f t="shared" si="12"/>
        <v>0.96527927165880145</v>
      </c>
      <c r="I155" s="367" t="s">
        <v>656</v>
      </c>
      <c r="J155" s="186" t="s">
        <v>12</v>
      </c>
      <c r="K155" s="266">
        <v>100</v>
      </c>
      <c r="L155" s="261">
        <v>100</v>
      </c>
      <c r="M155" s="13">
        <f t="shared" si="10"/>
        <v>100</v>
      </c>
      <c r="N155" s="598">
        <f t="shared" si="11"/>
        <v>1</v>
      </c>
      <c r="O155" s="910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  <c r="CW155" s="127"/>
      <c r="CX155" s="127"/>
      <c r="CY155" s="127"/>
      <c r="CZ155" s="127"/>
      <c r="DA155" s="127"/>
      <c r="DB155" s="127"/>
      <c r="DC155" s="127"/>
      <c r="DD155" s="127"/>
      <c r="DE155" s="127"/>
      <c r="DF155" s="127"/>
      <c r="DG155" s="127"/>
      <c r="DH155" s="127"/>
      <c r="DI155" s="127"/>
      <c r="DJ155" s="127"/>
      <c r="DK155" s="127"/>
      <c r="DL155" s="127"/>
      <c r="DM155" s="127"/>
      <c r="DN155" s="127"/>
      <c r="DO155" s="127"/>
      <c r="DP155" s="127"/>
      <c r="DQ155" s="127"/>
      <c r="DR155" s="127"/>
      <c r="DS155" s="127"/>
      <c r="DT155" s="127"/>
      <c r="DU155" s="127"/>
      <c r="DV155" s="127"/>
      <c r="DW155" s="127"/>
      <c r="DX155" s="127"/>
      <c r="DY155" s="127"/>
      <c r="DZ155" s="127"/>
      <c r="EA155" s="127"/>
      <c r="EB155" s="127"/>
      <c r="EC155" s="127"/>
      <c r="ED155" s="127"/>
      <c r="EE155" s="127"/>
      <c r="EF155" s="127"/>
      <c r="EG155" s="127"/>
      <c r="EH155" s="127"/>
      <c r="EI155" s="127"/>
      <c r="EJ155" s="127"/>
      <c r="EK155" s="127"/>
      <c r="EL155" s="127"/>
      <c r="EM155" s="127"/>
      <c r="EN155" s="127"/>
    </row>
    <row r="156" spans="1:144" s="14" customFormat="1" ht="55.5" customHeight="1">
      <c r="A156" s="9"/>
      <c r="B156" s="35" t="s">
        <v>386</v>
      </c>
      <c r="C156" s="367" t="s">
        <v>770</v>
      </c>
      <c r="D156" s="10" t="s">
        <v>333</v>
      </c>
      <c r="E156" s="728">
        <v>3348092</v>
      </c>
      <c r="F156" s="728">
        <v>3341302.53</v>
      </c>
      <c r="G156" s="737">
        <f>(F156/E156)*100</f>
        <v>99.797213756372287</v>
      </c>
      <c r="H156" s="399">
        <f t="shared" si="12"/>
        <v>0.99797213756372283</v>
      </c>
      <c r="I156" s="367" t="s">
        <v>655</v>
      </c>
      <c r="J156" s="12" t="s">
        <v>541</v>
      </c>
      <c r="K156" s="257">
        <v>10</v>
      </c>
      <c r="L156" s="257">
        <v>10</v>
      </c>
      <c r="M156" s="13">
        <f t="shared" si="10"/>
        <v>100</v>
      </c>
      <c r="N156" s="598">
        <f t="shared" si="11"/>
        <v>1</v>
      </c>
      <c r="O156" s="910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  <c r="CW156" s="127"/>
      <c r="CX156" s="127"/>
      <c r="CY156" s="127"/>
      <c r="CZ156" s="127"/>
      <c r="DA156" s="127"/>
      <c r="DB156" s="127"/>
      <c r="DC156" s="127"/>
      <c r="DD156" s="127"/>
      <c r="DE156" s="127"/>
      <c r="DF156" s="127"/>
      <c r="DG156" s="127"/>
      <c r="DH156" s="127"/>
      <c r="DI156" s="127"/>
      <c r="DJ156" s="127"/>
      <c r="DK156" s="127"/>
      <c r="DL156" s="127"/>
      <c r="DM156" s="127"/>
      <c r="DN156" s="127"/>
      <c r="DO156" s="127"/>
      <c r="DP156" s="127"/>
      <c r="DQ156" s="127"/>
      <c r="DR156" s="127"/>
      <c r="DS156" s="127"/>
      <c r="DT156" s="127"/>
      <c r="DU156" s="127"/>
      <c r="DV156" s="127"/>
      <c r="DW156" s="127"/>
      <c r="DX156" s="127"/>
      <c r="DY156" s="127"/>
      <c r="DZ156" s="127"/>
      <c r="EA156" s="127"/>
      <c r="EB156" s="127"/>
      <c r="EC156" s="127"/>
      <c r="ED156" s="127"/>
      <c r="EE156" s="127"/>
      <c r="EF156" s="127"/>
      <c r="EG156" s="127"/>
      <c r="EH156" s="127"/>
      <c r="EI156" s="127"/>
      <c r="EJ156" s="127"/>
      <c r="EK156" s="127"/>
      <c r="EL156" s="127"/>
      <c r="EM156" s="127"/>
      <c r="EN156" s="127"/>
    </row>
    <row r="157" spans="1:144" s="14" customFormat="1" ht="55.5" customHeight="1">
      <c r="A157" s="9"/>
      <c r="B157" s="35"/>
      <c r="C157" s="367"/>
      <c r="D157" s="10"/>
      <c r="E157" s="728"/>
      <c r="F157" s="728"/>
      <c r="G157" s="722"/>
      <c r="H157" s="399"/>
      <c r="I157" s="367" t="s">
        <v>654</v>
      </c>
      <c r="J157" s="629" t="s">
        <v>164</v>
      </c>
      <c r="K157" s="257">
        <v>1</v>
      </c>
      <c r="L157" s="257">
        <v>1</v>
      </c>
      <c r="M157" s="13">
        <f t="shared" si="10"/>
        <v>100</v>
      </c>
      <c r="N157" s="598">
        <f t="shared" si="11"/>
        <v>1</v>
      </c>
      <c r="O157" s="910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  <c r="CW157" s="127"/>
      <c r="CX157" s="127"/>
      <c r="CY157" s="127"/>
      <c r="CZ157" s="127"/>
      <c r="DA157" s="127"/>
      <c r="DB157" s="127"/>
      <c r="DC157" s="127"/>
      <c r="DD157" s="127"/>
      <c r="DE157" s="127"/>
      <c r="DF157" s="127"/>
      <c r="DG157" s="127"/>
      <c r="DH157" s="127"/>
      <c r="DI157" s="127"/>
      <c r="DJ157" s="127"/>
      <c r="DK157" s="127"/>
      <c r="DL157" s="127"/>
      <c r="DM157" s="127"/>
      <c r="DN157" s="127"/>
      <c r="DO157" s="127"/>
      <c r="DP157" s="127"/>
      <c r="DQ157" s="127"/>
      <c r="DR157" s="127"/>
      <c r="DS157" s="127"/>
      <c r="DT157" s="127"/>
      <c r="DU157" s="127"/>
      <c r="DV157" s="127"/>
      <c r="DW157" s="127"/>
      <c r="DX157" s="127"/>
      <c r="DY157" s="127"/>
      <c r="DZ157" s="127"/>
      <c r="EA157" s="127"/>
      <c r="EB157" s="127"/>
      <c r="EC157" s="127"/>
      <c r="ED157" s="127"/>
      <c r="EE157" s="127"/>
      <c r="EF157" s="127"/>
      <c r="EG157" s="127"/>
      <c r="EH157" s="127"/>
      <c r="EI157" s="127"/>
      <c r="EJ157" s="127"/>
      <c r="EK157" s="127"/>
      <c r="EL157" s="127"/>
      <c r="EM157" s="127"/>
      <c r="EN157" s="127"/>
    </row>
    <row r="158" spans="1:144" s="14" customFormat="1" ht="79.5" customHeight="1">
      <c r="A158" s="9"/>
      <c r="B158" s="35"/>
      <c r="C158" s="227"/>
      <c r="D158" s="10"/>
      <c r="E158" s="298"/>
      <c r="F158" s="298"/>
      <c r="G158" s="397"/>
      <c r="H158" s="399"/>
      <c r="I158" s="367" t="s">
        <v>658</v>
      </c>
      <c r="J158" s="12" t="s">
        <v>12</v>
      </c>
      <c r="K158" s="257">
        <v>100</v>
      </c>
      <c r="L158" s="257">
        <v>100</v>
      </c>
      <c r="M158" s="13">
        <f t="shared" si="10"/>
        <v>100</v>
      </c>
      <c r="N158" s="598">
        <f t="shared" si="11"/>
        <v>1</v>
      </c>
      <c r="O158" s="913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  <c r="CW158" s="127"/>
      <c r="CX158" s="127"/>
      <c r="CY158" s="127"/>
      <c r="CZ158" s="127"/>
      <c r="DA158" s="127"/>
      <c r="DB158" s="127"/>
      <c r="DC158" s="127"/>
      <c r="DD158" s="127"/>
      <c r="DE158" s="127"/>
      <c r="DF158" s="127"/>
      <c r="DG158" s="127"/>
      <c r="DH158" s="127"/>
      <c r="DI158" s="127"/>
      <c r="DJ158" s="127"/>
      <c r="DK158" s="127"/>
      <c r="DL158" s="127"/>
      <c r="DM158" s="127"/>
      <c r="DN158" s="127"/>
      <c r="DO158" s="127"/>
      <c r="DP158" s="127"/>
      <c r="DQ158" s="127"/>
      <c r="DR158" s="127"/>
      <c r="DS158" s="127"/>
      <c r="DT158" s="127"/>
      <c r="DU158" s="127"/>
      <c r="DV158" s="127"/>
      <c r="DW158" s="127"/>
      <c r="DX158" s="127"/>
      <c r="DY158" s="127"/>
      <c r="DZ158" s="127"/>
      <c r="EA158" s="127"/>
      <c r="EB158" s="127"/>
      <c r="EC158" s="127"/>
      <c r="ED158" s="127"/>
      <c r="EE158" s="127"/>
      <c r="EF158" s="127"/>
      <c r="EG158" s="127"/>
      <c r="EH158" s="127"/>
      <c r="EI158" s="127"/>
      <c r="EJ158" s="127"/>
      <c r="EK158" s="127"/>
      <c r="EL158" s="127"/>
      <c r="EM158" s="127"/>
      <c r="EN158" s="127"/>
    </row>
    <row r="159" spans="1:144" s="85" customFormat="1" ht="21" customHeight="1">
      <c r="A159" s="85">
        <f>E159-F159</f>
        <v>45784.320000000298</v>
      </c>
      <c r="B159" s="63"/>
      <c r="C159" s="61" t="s">
        <v>162</v>
      </c>
      <c r="D159" s="401"/>
      <c r="E159" s="503">
        <f>E153+E154+E155+E156+E157+E158</f>
        <v>4948242</v>
      </c>
      <c r="F159" s="503">
        <f>F153+F154+F155+F156</f>
        <v>4902457.68</v>
      </c>
      <c r="G159" s="482">
        <f>(F159/E159)*100</f>
        <v>99.074735633382517</v>
      </c>
      <c r="H159" s="456">
        <v>0.99</v>
      </c>
      <c r="I159" s="61"/>
      <c r="J159" s="88"/>
      <c r="K159" s="265"/>
      <c r="L159" s="265"/>
      <c r="M159" s="505">
        <f>(M153+M154+M155+M156+M157+M158)/6</f>
        <v>91.666666666666671</v>
      </c>
      <c r="N159" s="505">
        <f>(N153+N154+N155+N156+N157+N158)/6</f>
        <v>0.91666666666666663</v>
      </c>
      <c r="O159" s="910"/>
      <c r="P159" s="383"/>
      <c r="Q159" s="383"/>
      <c r="R159" s="383"/>
      <c r="S159" s="383"/>
      <c r="T159" s="383"/>
      <c r="U159" s="383"/>
      <c r="V159" s="383"/>
      <c r="W159" s="383"/>
      <c r="X159" s="58"/>
      <c r="Y159" s="58"/>
      <c r="Z159" s="58"/>
      <c r="AA159" s="58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72"/>
      <c r="BK159" s="72"/>
      <c r="BL159" s="72"/>
      <c r="BM159" s="72"/>
      <c r="BN159" s="72"/>
      <c r="BO159" s="72"/>
      <c r="BP159" s="72"/>
      <c r="BQ159" s="72"/>
      <c r="BR159" s="72"/>
      <c r="BS159" s="72"/>
      <c r="BT159" s="72"/>
      <c r="BU159" s="72"/>
      <c r="BV159" s="72"/>
      <c r="BW159" s="72"/>
      <c r="BX159" s="72"/>
      <c r="BY159" s="72"/>
      <c r="BZ159" s="72"/>
      <c r="CA159" s="72"/>
      <c r="CB159" s="72"/>
      <c r="CC159" s="72"/>
      <c r="CD159" s="72"/>
      <c r="CE159" s="72"/>
      <c r="CF159" s="72"/>
      <c r="CG159" s="72"/>
      <c r="CH159" s="72"/>
      <c r="CI159" s="72"/>
      <c r="CJ159" s="72"/>
      <c r="CK159" s="72"/>
      <c r="CL159" s="72"/>
      <c r="CM159" s="72"/>
      <c r="CN159" s="72"/>
      <c r="CO159" s="72"/>
      <c r="CP159" s="72"/>
      <c r="CQ159" s="72"/>
      <c r="CR159" s="72"/>
      <c r="CS159" s="72"/>
      <c r="CT159" s="72"/>
      <c r="CU159" s="72"/>
      <c r="CV159" s="72"/>
      <c r="CW159" s="72"/>
      <c r="CX159" s="72"/>
      <c r="CY159" s="72"/>
      <c r="CZ159" s="72"/>
      <c r="DA159" s="72"/>
      <c r="DB159" s="72"/>
      <c r="DC159" s="72"/>
      <c r="DD159" s="72"/>
      <c r="DE159" s="72"/>
      <c r="DF159" s="72"/>
      <c r="DG159" s="72"/>
      <c r="DH159" s="72"/>
      <c r="DI159" s="72"/>
      <c r="DJ159" s="72"/>
      <c r="DK159" s="72"/>
      <c r="DL159" s="72"/>
      <c r="DM159" s="72"/>
      <c r="DN159" s="72"/>
      <c r="DO159" s="72"/>
      <c r="DP159" s="72"/>
      <c r="DQ159" s="72"/>
      <c r="DR159" s="72"/>
      <c r="DS159" s="72"/>
      <c r="DT159" s="72"/>
      <c r="DU159" s="72"/>
      <c r="DV159" s="72"/>
      <c r="DW159" s="72"/>
      <c r="DX159" s="72"/>
      <c r="DY159" s="72"/>
      <c r="DZ159" s="72"/>
      <c r="EA159" s="72"/>
      <c r="EB159" s="72"/>
      <c r="EC159" s="72"/>
      <c r="ED159" s="72"/>
      <c r="EE159" s="72"/>
      <c r="EF159" s="72"/>
      <c r="EG159" s="72"/>
      <c r="EH159" s="72"/>
      <c r="EI159" s="72"/>
      <c r="EJ159" s="72"/>
      <c r="EK159" s="72"/>
      <c r="EL159" s="72"/>
      <c r="EM159" s="72"/>
      <c r="EN159" s="72"/>
    </row>
    <row r="160" spans="1:144" s="726" customFormat="1" ht="43.5" customHeight="1">
      <c r="A160" s="726" t="e">
        <f>F160/F181*100</f>
        <v>#DIV/0!</v>
      </c>
      <c r="B160" s="488"/>
      <c r="C160" s="489" t="s">
        <v>388</v>
      </c>
      <c r="D160" s="488"/>
      <c r="E160" s="490">
        <f>E159+E146+E135</f>
        <v>75393588.25</v>
      </c>
      <c r="F160" s="490">
        <f>F159+F146+F135</f>
        <v>75244480.310000002</v>
      </c>
      <c r="G160" s="495">
        <f>F160/E160*100</f>
        <v>99.802227293512587</v>
      </c>
      <c r="H160" s="496">
        <v>0.99</v>
      </c>
      <c r="I160" s="850" t="s">
        <v>137</v>
      </c>
      <c r="J160" s="851"/>
      <c r="K160" s="851"/>
      <c r="L160" s="851"/>
      <c r="M160" s="499">
        <f>(M159+M146+M135)/3</f>
        <v>100.77247693556721</v>
      </c>
      <c r="N160" s="494">
        <f>(N159+N146+N135)/3</f>
        <v>1.0077247693556721</v>
      </c>
      <c r="O160" s="911"/>
      <c r="P160" s="727"/>
      <c r="Q160" s="727"/>
      <c r="R160" s="727"/>
      <c r="S160" s="727"/>
      <c r="T160" s="727"/>
      <c r="U160" s="727"/>
      <c r="V160" s="727"/>
      <c r="W160" s="727"/>
      <c r="X160" s="727"/>
      <c r="Y160" s="727"/>
      <c r="Z160" s="727"/>
      <c r="AA160" s="727"/>
      <c r="AB160" s="727"/>
      <c r="AC160" s="727"/>
      <c r="AD160" s="727"/>
      <c r="AE160" s="727"/>
      <c r="AF160" s="727"/>
      <c r="AG160" s="727"/>
      <c r="AH160" s="727"/>
      <c r="AI160" s="727"/>
      <c r="AJ160" s="727"/>
      <c r="AK160" s="727"/>
      <c r="AL160" s="727"/>
      <c r="AM160" s="727"/>
      <c r="AN160" s="727"/>
      <c r="AO160" s="727"/>
      <c r="AP160" s="727"/>
      <c r="AQ160" s="727"/>
      <c r="AR160" s="727"/>
      <c r="AS160" s="727"/>
      <c r="AT160" s="727"/>
      <c r="AU160" s="727"/>
      <c r="AV160" s="727"/>
      <c r="AW160" s="727"/>
      <c r="AX160" s="727"/>
      <c r="AY160" s="727"/>
      <c r="AZ160" s="727"/>
      <c r="BA160" s="727"/>
      <c r="BB160" s="727"/>
      <c r="BC160" s="727"/>
      <c r="BD160" s="727"/>
      <c r="BE160" s="727"/>
      <c r="BF160" s="727"/>
      <c r="BG160" s="727"/>
      <c r="BH160" s="727"/>
      <c r="BI160" s="727"/>
      <c r="BJ160" s="727"/>
      <c r="BK160" s="727"/>
      <c r="BL160" s="727"/>
      <c r="BM160" s="727"/>
      <c r="BN160" s="727"/>
      <c r="BO160" s="727"/>
      <c r="BP160" s="727"/>
      <c r="BQ160" s="727"/>
      <c r="BR160" s="727"/>
      <c r="BS160" s="727"/>
      <c r="BT160" s="727"/>
      <c r="BU160" s="727"/>
      <c r="BV160" s="727"/>
      <c r="BW160" s="727"/>
      <c r="BX160" s="727"/>
      <c r="BY160" s="727"/>
      <c r="BZ160" s="727"/>
      <c r="CA160" s="727"/>
      <c r="CB160" s="727"/>
      <c r="CC160" s="727"/>
      <c r="CD160" s="727"/>
      <c r="CE160" s="727"/>
      <c r="CF160" s="727"/>
      <c r="CG160" s="727"/>
      <c r="CH160" s="727"/>
      <c r="CI160" s="727"/>
      <c r="CJ160" s="727"/>
      <c r="CK160" s="727"/>
      <c r="CL160" s="727"/>
      <c r="CM160" s="727"/>
      <c r="CN160" s="727"/>
      <c r="CO160" s="727"/>
      <c r="CP160" s="727"/>
      <c r="CQ160" s="727"/>
      <c r="CR160" s="727"/>
      <c r="CS160" s="727"/>
      <c r="CT160" s="727"/>
      <c r="CU160" s="727"/>
      <c r="CV160" s="727"/>
      <c r="CW160" s="727"/>
      <c r="CX160" s="727"/>
      <c r="CY160" s="727"/>
      <c r="CZ160" s="727"/>
      <c r="DA160" s="727"/>
      <c r="DB160" s="727"/>
      <c r="DC160" s="727"/>
      <c r="DD160" s="727"/>
      <c r="DE160" s="727"/>
      <c r="DF160" s="727"/>
      <c r="DG160" s="727"/>
      <c r="DH160" s="727"/>
      <c r="DI160" s="727"/>
      <c r="DJ160" s="727"/>
      <c r="DK160" s="727"/>
      <c r="DL160" s="727"/>
      <c r="DM160" s="727"/>
      <c r="DN160" s="727"/>
      <c r="DO160" s="727"/>
      <c r="DP160" s="727"/>
      <c r="DQ160" s="727"/>
      <c r="DR160" s="727"/>
      <c r="DS160" s="727"/>
      <c r="DT160" s="727"/>
      <c r="DU160" s="727"/>
      <c r="DV160" s="727"/>
      <c r="DW160" s="727"/>
      <c r="DX160" s="727"/>
      <c r="DY160" s="727"/>
      <c r="DZ160" s="727"/>
      <c r="EA160" s="727"/>
      <c r="EB160" s="727"/>
      <c r="EC160" s="727"/>
      <c r="ED160" s="727"/>
      <c r="EE160" s="727"/>
      <c r="EF160" s="727"/>
      <c r="EG160" s="727"/>
      <c r="EH160" s="727"/>
      <c r="EI160" s="727"/>
      <c r="EJ160" s="727"/>
      <c r="EK160" s="727"/>
      <c r="EL160" s="727"/>
      <c r="EM160" s="727"/>
      <c r="EN160" s="727"/>
    </row>
    <row r="161" spans="1:144" s="187" customFormat="1" ht="21.75" customHeight="1">
      <c r="B161" s="133"/>
      <c r="C161" s="162" t="s">
        <v>516</v>
      </c>
      <c r="D161" s="711" t="s">
        <v>520</v>
      </c>
      <c r="E161" s="712">
        <v>0</v>
      </c>
      <c r="F161" s="712">
        <v>0</v>
      </c>
      <c r="G161" s="502"/>
      <c r="H161" s="501"/>
      <c r="I161" s="394"/>
      <c r="J161" s="395"/>
      <c r="K161" s="395"/>
      <c r="L161" s="395"/>
      <c r="M161" s="60"/>
      <c r="N161" s="468"/>
      <c r="O161" s="910"/>
      <c r="P161" s="383"/>
      <c r="Q161" s="383"/>
      <c r="R161" s="383"/>
      <c r="S161" s="383"/>
      <c r="T161" s="383"/>
      <c r="U161" s="383"/>
      <c r="V161" s="383"/>
      <c r="W161" s="383"/>
      <c r="X161" s="383"/>
      <c r="Y161" s="383"/>
      <c r="Z161" s="383"/>
      <c r="AA161" s="383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  <c r="CP161" s="188"/>
      <c r="CQ161" s="188"/>
      <c r="CR161" s="188"/>
      <c r="CS161" s="188"/>
      <c r="CT161" s="188"/>
      <c r="CU161" s="188"/>
      <c r="CV161" s="188"/>
      <c r="CW161" s="188"/>
      <c r="CX161" s="188"/>
      <c r="CY161" s="188"/>
      <c r="CZ161" s="188"/>
      <c r="DA161" s="188"/>
      <c r="DB161" s="188"/>
      <c r="DC161" s="188"/>
      <c r="DD161" s="188"/>
      <c r="DE161" s="188"/>
      <c r="DF161" s="188"/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88"/>
      <c r="DX161" s="188"/>
      <c r="DY161" s="188"/>
      <c r="DZ161" s="188"/>
      <c r="EA161" s="188"/>
      <c r="EB161" s="188"/>
      <c r="EC161" s="188"/>
      <c r="ED161" s="188"/>
      <c r="EE161" s="188"/>
      <c r="EF161" s="188"/>
      <c r="EG161" s="188"/>
      <c r="EH161" s="188"/>
      <c r="EI161" s="188"/>
      <c r="EJ161" s="188"/>
      <c r="EK161" s="188"/>
      <c r="EL161" s="188"/>
      <c r="EM161" s="188"/>
      <c r="EN161" s="188"/>
    </row>
    <row r="162" spans="1:144" s="187" customFormat="1" ht="20.25" customHeight="1">
      <c r="B162" s="133"/>
      <c r="C162" s="162" t="s">
        <v>517</v>
      </c>
      <c r="D162" s="711" t="s">
        <v>329</v>
      </c>
      <c r="E162" s="712">
        <v>0</v>
      </c>
      <c r="F162" s="712">
        <v>0</v>
      </c>
      <c r="G162" s="502"/>
      <c r="H162" s="501"/>
      <c r="I162" s="394"/>
      <c r="J162" s="395"/>
      <c r="K162" s="395"/>
      <c r="L162" s="395"/>
      <c r="M162" s="60"/>
      <c r="N162" s="468"/>
      <c r="O162" s="910"/>
      <c r="P162" s="383"/>
      <c r="Q162" s="383"/>
      <c r="R162" s="383"/>
      <c r="S162" s="383"/>
      <c r="T162" s="383"/>
      <c r="U162" s="383"/>
      <c r="V162" s="383"/>
      <c r="W162" s="383"/>
      <c r="X162" s="383"/>
      <c r="Y162" s="383"/>
      <c r="Z162" s="383"/>
      <c r="AA162" s="383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  <c r="CP162" s="188"/>
      <c r="CQ162" s="188"/>
      <c r="CR162" s="188"/>
      <c r="CS162" s="188"/>
      <c r="CT162" s="188"/>
      <c r="CU162" s="188"/>
      <c r="CV162" s="188"/>
      <c r="CW162" s="188"/>
      <c r="CX162" s="188"/>
      <c r="CY162" s="188"/>
      <c r="CZ162" s="188"/>
      <c r="DA162" s="188"/>
      <c r="DB162" s="188"/>
      <c r="DC162" s="188"/>
      <c r="DD162" s="188"/>
      <c r="DE162" s="188"/>
      <c r="DF162" s="188"/>
      <c r="DG162" s="188"/>
      <c r="DH162" s="188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  <c r="DW162" s="188"/>
      <c r="DX162" s="188"/>
      <c r="DY162" s="188"/>
      <c r="DZ162" s="188"/>
      <c r="EA162" s="188"/>
      <c r="EB162" s="188"/>
      <c r="EC162" s="188"/>
      <c r="ED162" s="188"/>
      <c r="EE162" s="188"/>
      <c r="EF162" s="188"/>
      <c r="EG162" s="188"/>
      <c r="EH162" s="188"/>
      <c r="EI162" s="188"/>
      <c r="EJ162" s="188"/>
      <c r="EK162" s="188"/>
      <c r="EL162" s="188"/>
      <c r="EM162" s="188"/>
      <c r="EN162" s="188"/>
    </row>
    <row r="163" spans="1:144" s="187" customFormat="1" ht="30.75" customHeight="1">
      <c r="A163" s="187">
        <f>E160-F160</f>
        <v>149107.93999999762</v>
      </c>
      <c r="B163" s="133"/>
      <c r="C163" s="162" t="s">
        <v>518</v>
      </c>
      <c r="D163" s="711" t="s">
        <v>521</v>
      </c>
      <c r="E163" s="712">
        <f>E160</f>
        <v>75393588.25</v>
      </c>
      <c r="F163" s="712">
        <f>F160</f>
        <v>75244480.310000002</v>
      </c>
      <c r="G163" s="366"/>
      <c r="H163" s="442"/>
      <c r="I163" s="867"/>
      <c r="J163" s="868"/>
      <c r="K163" s="868"/>
      <c r="L163" s="868"/>
      <c r="M163" s="60"/>
      <c r="N163" s="469"/>
      <c r="O163" s="912"/>
      <c r="P163" s="383"/>
      <c r="Q163" s="383"/>
      <c r="R163" s="383"/>
      <c r="S163" s="383"/>
      <c r="T163" s="383"/>
      <c r="U163" s="383"/>
      <c r="V163" s="383"/>
      <c r="W163" s="383"/>
      <c r="X163" s="383"/>
      <c r="Y163" s="383"/>
      <c r="Z163" s="383"/>
      <c r="AA163" s="383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8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8"/>
      <c r="CG163" s="188"/>
      <c r="CH163" s="188"/>
      <c r="CI163" s="188"/>
      <c r="CJ163" s="188"/>
      <c r="CK163" s="188"/>
      <c r="CL163" s="188"/>
      <c r="CM163" s="188"/>
      <c r="CN163" s="188"/>
      <c r="CO163" s="188"/>
      <c r="CP163" s="188"/>
      <c r="CQ163" s="188"/>
      <c r="CR163" s="188"/>
      <c r="CS163" s="188"/>
      <c r="CT163" s="188"/>
      <c r="CU163" s="188"/>
      <c r="CV163" s="188"/>
      <c r="CW163" s="188"/>
      <c r="CX163" s="188"/>
      <c r="CY163" s="188"/>
      <c r="CZ163" s="188"/>
      <c r="DA163" s="188"/>
      <c r="DB163" s="188"/>
      <c r="DC163" s="188"/>
      <c r="DD163" s="188"/>
      <c r="DE163" s="188"/>
      <c r="DF163" s="188"/>
      <c r="DG163" s="188"/>
      <c r="DH163" s="188"/>
      <c r="DI163" s="188"/>
      <c r="DJ163" s="188"/>
      <c r="DK163" s="188"/>
      <c r="DL163" s="188"/>
      <c r="DM163" s="188"/>
      <c r="DN163" s="188"/>
      <c r="DO163" s="188"/>
      <c r="DP163" s="188"/>
      <c r="DQ163" s="188"/>
      <c r="DR163" s="188"/>
      <c r="DS163" s="188"/>
      <c r="DT163" s="188"/>
      <c r="DU163" s="188"/>
      <c r="DV163" s="188"/>
      <c r="DW163" s="188"/>
      <c r="DX163" s="188"/>
      <c r="DY163" s="188"/>
      <c r="DZ163" s="188"/>
      <c r="EA163" s="188"/>
      <c r="EB163" s="188"/>
      <c r="EC163" s="188"/>
      <c r="ED163" s="188"/>
      <c r="EE163" s="188"/>
      <c r="EF163" s="188"/>
      <c r="EG163" s="188"/>
      <c r="EH163" s="188"/>
      <c r="EI163" s="188"/>
      <c r="EJ163" s="188"/>
      <c r="EK163" s="188"/>
      <c r="EL163" s="188"/>
      <c r="EM163" s="188"/>
      <c r="EN163" s="188"/>
    </row>
    <row r="164" spans="1:144" s="187" customFormat="1" ht="22.5" customHeight="1">
      <c r="B164" s="133"/>
      <c r="C164" s="162" t="s">
        <v>519</v>
      </c>
      <c r="D164" s="711" t="s">
        <v>522</v>
      </c>
      <c r="E164" s="712">
        <v>0</v>
      </c>
      <c r="F164" s="712">
        <v>0</v>
      </c>
      <c r="G164" s="366"/>
      <c r="H164" s="442"/>
      <c r="I164" s="867"/>
      <c r="J164" s="868"/>
      <c r="K164" s="868"/>
      <c r="L164" s="868"/>
      <c r="M164" s="60"/>
      <c r="N164" s="469"/>
      <c r="O164" s="912"/>
      <c r="P164" s="382"/>
      <c r="Q164" s="382"/>
      <c r="R164" s="382"/>
      <c r="S164" s="382"/>
      <c r="T164" s="382"/>
      <c r="U164" s="382"/>
      <c r="V164" s="382"/>
      <c r="W164" s="382"/>
      <c r="X164" s="383"/>
      <c r="Y164" s="383"/>
      <c r="Z164" s="383"/>
      <c r="AA164" s="383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8"/>
      <c r="DZ164" s="188"/>
      <c r="EA164" s="188"/>
      <c r="EB164" s="188"/>
      <c r="EC164" s="188"/>
      <c r="ED164" s="188"/>
      <c r="EE164" s="188"/>
      <c r="EF164" s="188"/>
      <c r="EG164" s="188"/>
      <c r="EH164" s="188"/>
      <c r="EI164" s="188"/>
      <c r="EJ164" s="188"/>
      <c r="EK164" s="188"/>
      <c r="EL164" s="188"/>
      <c r="EM164" s="188"/>
      <c r="EN164" s="188"/>
    </row>
    <row r="165" spans="1:144" s="1" customFormat="1" ht="49.5" customHeight="1">
      <c r="B165" s="184"/>
      <c r="C165" s="869" t="s">
        <v>659</v>
      </c>
      <c r="D165" s="870"/>
      <c r="E165" s="870"/>
      <c r="F165" s="870"/>
      <c r="G165" s="870"/>
      <c r="H165" s="870"/>
      <c r="I165" s="870"/>
      <c r="J165" s="870"/>
      <c r="K165" s="870"/>
      <c r="L165" s="870"/>
      <c r="M165" s="870"/>
      <c r="N165" s="871"/>
      <c r="O165" s="912"/>
      <c r="P165" s="382"/>
      <c r="Q165" s="382"/>
      <c r="R165" s="382"/>
      <c r="S165" s="382"/>
      <c r="T165" s="382"/>
      <c r="U165" s="382"/>
      <c r="V165" s="382"/>
      <c r="W165" s="382"/>
      <c r="X165" s="382"/>
      <c r="Y165" s="382"/>
      <c r="Z165" s="382"/>
      <c r="AA165" s="382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  <c r="EC165" s="124"/>
      <c r="ED165" s="124"/>
      <c r="EE165" s="124"/>
      <c r="EF165" s="124"/>
      <c r="EG165" s="124"/>
      <c r="EH165" s="124"/>
      <c r="EI165" s="124"/>
      <c r="EJ165" s="124"/>
      <c r="EK165" s="124"/>
      <c r="EL165" s="124"/>
      <c r="EM165" s="124"/>
      <c r="EN165" s="124"/>
    </row>
    <row r="166" spans="1:144" s="23" customFormat="1" ht="21" hidden="1" customHeight="1">
      <c r="A166" s="20">
        <f>E166-F166</f>
        <v>596431.75999999046</v>
      </c>
      <c r="B166" s="10"/>
      <c r="C166" s="157" t="s">
        <v>21</v>
      </c>
      <c r="D166" s="402"/>
      <c r="E166" s="302">
        <f>SUM(E130:E165)</f>
        <v>298709253</v>
      </c>
      <c r="F166" s="302">
        <f>SUM(F130:F165)</f>
        <v>298112821.24000001</v>
      </c>
      <c r="G166" s="366">
        <f>F166/E166*100</f>
        <v>99.800330336603267</v>
      </c>
      <c r="H166" s="399" t="e">
        <f>#REF!/G166*100</f>
        <v>#REF!</v>
      </c>
      <c r="I166" s="16"/>
      <c r="J166" s="22"/>
      <c r="K166" s="260"/>
      <c r="L166" s="260"/>
      <c r="M166" s="28" t="e">
        <f>(#REF!+#REF!+M151+M133+M131+#REF!+M130)/7</f>
        <v>#REF!</v>
      </c>
      <c r="N166" s="463" t="e">
        <f>M166*0.4+H166*0.4+'[1]Внесение изменений'!H5*0.2</f>
        <v>#REF!</v>
      </c>
      <c r="O166" s="910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72"/>
      <c r="BO166" s="72"/>
      <c r="BP166" s="72"/>
      <c r="BQ166" s="72"/>
      <c r="BR166" s="72"/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2"/>
      <c r="CD166" s="72"/>
      <c r="CE166" s="72"/>
      <c r="CF166" s="72"/>
      <c r="CG166" s="72"/>
      <c r="CH166" s="72"/>
      <c r="CI166" s="72"/>
      <c r="CJ166" s="72"/>
      <c r="CK166" s="72"/>
      <c r="CL166" s="72"/>
      <c r="CM166" s="72"/>
      <c r="CN166" s="72"/>
      <c r="CO166" s="72"/>
      <c r="CP166" s="72"/>
      <c r="CQ166" s="72"/>
      <c r="CR166" s="72"/>
      <c r="CS166" s="72"/>
      <c r="CT166" s="72"/>
      <c r="CU166" s="72"/>
      <c r="CV166" s="72"/>
      <c r="CW166" s="72"/>
      <c r="CX166" s="72"/>
      <c r="CY166" s="72"/>
      <c r="CZ166" s="72"/>
      <c r="DA166" s="72"/>
      <c r="DB166" s="72"/>
      <c r="DC166" s="72"/>
      <c r="DD166" s="72"/>
      <c r="DE166" s="72"/>
      <c r="DF166" s="72"/>
      <c r="DG166" s="72"/>
      <c r="DH166" s="72"/>
      <c r="DI166" s="72"/>
      <c r="DJ166" s="72"/>
      <c r="DK166" s="72"/>
      <c r="DL166" s="72"/>
      <c r="DM166" s="72"/>
      <c r="DN166" s="72"/>
      <c r="DO166" s="72"/>
      <c r="DP166" s="72"/>
      <c r="DQ166" s="72"/>
      <c r="DR166" s="72"/>
      <c r="DS166" s="72"/>
      <c r="DT166" s="72"/>
      <c r="DU166" s="72"/>
      <c r="DV166" s="72"/>
      <c r="DW166" s="72"/>
      <c r="DX166" s="72"/>
      <c r="DY166" s="72"/>
      <c r="DZ166" s="72"/>
      <c r="EA166" s="72"/>
      <c r="EB166" s="72"/>
      <c r="EC166" s="72"/>
      <c r="ED166" s="72"/>
      <c r="EE166" s="72"/>
      <c r="EF166" s="72"/>
      <c r="EG166" s="72"/>
      <c r="EH166" s="72"/>
      <c r="EI166" s="72"/>
      <c r="EJ166" s="72"/>
      <c r="EK166" s="72"/>
      <c r="EL166" s="72"/>
      <c r="EM166" s="72"/>
      <c r="EN166" s="72"/>
    </row>
    <row r="167" spans="1:144" ht="18.75" hidden="1">
      <c r="A167" s="7"/>
      <c r="B167" s="18"/>
      <c r="C167" s="805" t="s">
        <v>102</v>
      </c>
      <c r="D167" s="806"/>
      <c r="E167" s="806"/>
      <c r="F167" s="806"/>
      <c r="G167" s="806"/>
      <c r="H167" s="806"/>
      <c r="I167" s="806"/>
      <c r="J167" s="806"/>
      <c r="K167" s="806"/>
      <c r="L167" s="806"/>
      <c r="M167" s="807"/>
      <c r="N167" s="464"/>
      <c r="O167" s="910"/>
    </row>
    <row r="168" spans="1:144" ht="18.75" hidden="1">
      <c r="A168" s="7"/>
      <c r="B168" s="18"/>
      <c r="C168" s="805" t="s">
        <v>103</v>
      </c>
      <c r="D168" s="806"/>
      <c r="E168" s="806"/>
      <c r="F168" s="806"/>
      <c r="G168" s="806"/>
      <c r="H168" s="806"/>
      <c r="I168" s="806"/>
      <c r="J168" s="806"/>
      <c r="K168" s="806"/>
      <c r="L168" s="806"/>
      <c r="M168" s="806"/>
      <c r="N168" s="807"/>
      <c r="O168" s="910"/>
    </row>
    <row r="169" spans="1:144" ht="18.75" hidden="1" customHeight="1">
      <c r="A169" s="7"/>
      <c r="B169" s="15"/>
      <c r="C169" s="785" t="s">
        <v>104</v>
      </c>
      <c r="D169" s="786"/>
      <c r="E169" s="786"/>
      <c r="F169" s="786"/>
      <c r="G169" s="786"/>
      <c r="H169" s="786"/>
      <c r="I169" s="786"/>
      <c r="J169" s="786"/>
      <c r="K169" s="786"/>
      <c r="L169" s="786"/>
      <c r="M169" s="786"/>
      <c r="N169" s="787"/>
      <c r="O169" s="910"/>
    </row>
    <row r="170" spans="1:144" ht="19.5" hidden="1" customHeight="1">
      <c r="A170" s="7"/>
      <c r="B170" s="15"/>
      <c r="C170" s="785" t="s">
        <v>105</v>
      </c>
      <c r="D170" s="786"/>
      <c r="E170" s="786"/>
      <c r="F170" s="786"/>
      <c r="G170" s="786"/>
      <c r="H170" s="786"/>
      <c r="I170" s="786"/>
      <c r="J170" s="786"/>
      <c r="K170" s="786"/>
      <c r="L170" s="786"/>
      <c r="M170" s="786"/>
      <c r="N170" s="787"/>
      <c r="O170" s="910"/>
    </row>
    <row r="171" spans="1:144" s="14" customFormat="1" ht="29.25" hidden="1" customHeight="1">
      <c r="A171" s="9"/>
      <c r="B171" s="35"/>
      <c r="C171" s="36" t="s">
        <v>106</v>
      </c>
      <c r="D171" s="404"/>
      <c r="E171" s="298"/>
      <c r="F171" s="298"/>
      <c r="G171" s="366"/>
      <c r="H171" s="399"/>
      <c r="I171" s="11"/>
      <c r="J171" s="12"/>
      <c r="K171" s="257"/>
      <c r="L171" s="257"/>
      <c r="M171" s="12"/>
      <c r="N171" s="396"/>
      <c r="O171" s="910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  <c r="CW171" s="127"/>
      <c r="CX171" s="127"/>
      <c r="CY171" s="127"/>
      <c r="CZ171" s="127"/>
      <c r="DA171" s="127"/>
      <c r="DB171" s="127"/>
      <c r="DC171" s="127"/>
      <c r="DD171" s="127"/>
      <c r="DE171" s="127"/>
      <c r="DF171" s="127"/>
      <c r="DG171" s="127"/>
      <c r="DH171" s="127"/>
      <c r="DI171" s="127"/>
      <c r="DJ171" s="127"/>
      <c r="DK171" s="127"/>
      <c r="DL171" s="127"/>
      <c r="DM171" s="127"/>
      <c r="DN171" s="127"/>
      <c r="DO171" s="127"/>
      <c r="DP171" s="127"/>
      <c r="DQ171" s="127"/>
      <c r="DR171" s="127"/>
      <c r="DS171" s="127"/>
      <c r="DT171" s="127"/>
      <c r="DU171" s="127"/>
      <c r="DV171" s="127"/>
      <c r="DW171" s="127"/>
      <c r="DX171" s="127"/>
      <c r="DY171" s="127"/>
      <c r="DZ171" s="127"/>
      <c r="EA171" s="127"/>
      <c r="EB171" s="127"/>
      <c r="EC171" s="127"/>
      <c r="ED171" s="127"/>
      <c r="EE171" s="127"/>
      <c r="EF171" s="127"/>
      <c r="EG171" s="127"/>
      <c r="EH171" s="127"/>
      <c r="EI171" s="127"/>
      <c r="EJ171" s="127"/>
      <c r="EK171" s="127"/>
      <c r="EL171" s="127"/>
      <c r="EM171" s="127"/>
      <c r="EN171" s="127"/>
    </row>
    <row r="172" spans="1:144" s="14" customFormat="1" ht="51" hidden="1">
      <c r="A172" s="9"/>
      <c r="B172" s="35" t="s">
        <v>107</v>
      </c>
      <c r="C172" s="36" t="s">
        <v>108</v>
      </c>
      <c r="D172" s="405" t="s">
        <v>16</v>
      </c>
      <c r="E172" s="298">
        <v>33044</v>
      </c>
      <c r="F172" s="298">
        <v>33044</v>
      </c>
      <c r="G172" s="366">
        <f>F172/E172*100</f>
        <v>100</v>
      </c>
      <c r="H172" s="399"/>
      <c r="I172" s="11" t="s">
        <v>109</v>
      </c>
      <c r="J172" s="12" t="s">
        <v>12</v>
      </c>
      <c r="K172" s="257" t="s">
        <v>110</v>
      </c>
      <c r="L172" s="257" t="s">
        <v>110</v>
      </c>
      <c r="M172" s="12">
        <f>L172/K172</f>
        <v>1</v>
      </c>
      <c r="N172" s="396"/>
      <c r="O172" s="910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  <c r="CW172" s="127"/>
      <c r="CX172" s="127"/>
      <c r="CY172" s="127"/>
      <c r="CZ172" s="127"/>
      <c r="DA172" s="127"/>
      <c r="DB172" s="127"/>
      <c r="DC172" s="127"/>
      <c r="DD172" s="127"/>
      <c r="DE172" s="127"/>
      <c r="DF172" s="127"/>
      <c r="DG172" s="127"/>
      <c r="DH172" s="127"/>
      <c r="DI172" s="127"/>
      <c r="DJ172" s="127"/>
      <c r="DK172" s="127"/>
      <c r="DL172" s="127"/>
      <c r="DM172" s="127"/>
      <c r="DN172" s="127"/>
      <c r="DO172" s="127"/>
      <c r="DP172" s="127"/>
      <c r="DQ172" s="127"/>
      <c r="DR172" s="127"/>
      <c r="DS172" s="127"/>
      <c r="DT172" s="127"/>
      <c r="DU172" s="127"/>
      <c r="DV172" s="127"/>
      <c r="DW172" s="127"/>
      <c r="DX172" s="127"/>
      <c r="DY172" s="127"/>
      <c r="DZ172" s="127"/>
      <c r="EA172" s="127"/>
      <c r="EB172" s="127"/>
      <c r="EC172" s="127"/>
      <c r="ED172" s="127"/>
      <c r="EE172" s="127"/>
      <c r="EF172" s="127"/>
      <c r="EG172" s="127"/>
      <c r="EH172" s="127"/>
      <c r="EI172" s="127"/>
      <c r="EJ172" s="127"/>
      <c r="EK172" s="127"/>
      <c r="EL172" s="127"/>
      <c r="EM172" s="127"/>
      <c r="EN172" s="127"/>
    </row>
    <row r="173" spans="1:144" s="14" customFormat="1" ht="63.75" hidden="1">
      <c r="A173" s="9"/>
      <c r="B173" s="35" t="s">
        <v>111</v>
      </c>
      <c r="C173" s="36" t="s">
        <v>112</v>
      </c>
      <c r="D173" s="405" t="s">
        <v>16</v>
      </c>
      <c r="E173" s="298">
        <v>1944</v>
      </c>
      <c r="F173" s="298">
        <v>1944</v>
      </c>
      <c r="G173" s="366">
        <f>F173/E173*100</f>
        <v>100</v>
      </c>
      <c r="H173" s="399"/>
      <c r="I173" s="11" t="s">
        <v>113</v>
      </c>
      <c r="J173" s="12" t="s">
        <v>23</v>
      </c>
      <c r="K173" s="257" t="s">
        <v>114</v>
      </c>
      <c r="L173" s="257" t="s">
        <v>114</v>
      </c>
      <c r="M173" s="12">
        <v>1</v>
      </c>
      <c r="N173" s="396"/>
      <c r="O173" s="910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  <c r="CW173" s="127"/>
      <c r="CX173" s="127"/>
      <c r="CY173" s="127"/>
      <c r="CZ173" s="127"/>
      <c r="DA173" s="127"/>
      <c r="DB173" s="127"/>
      <c r="DC173" s="127"/>
      <c r="DD173" s="127"/>
      <c r="DE173" s="127"/>
      <c r="DF173" s="127"/>
      <c r="DG173" s="127"/>
      <c r="DH173" s="127"/>
      <c r="DI173" s="127"/>
      <c r="DJ173" s="127"/>
      <c r="DK173" s="127"/>
      <c r="DL173" s="127"/>
      <c r="DM173" s="127"/>
      <c r="DN173" s="127"/>
      <c r="DO173" s="127"/>
      <c r="DP173" s="127"/>
      <c r="DQ173" s="127"/>
      <c r="DR173" s="127"/>
      <c r="DS173" s="127"/>
      <c r="DT173" s="127"/>
      <c r="DU173" s="127"/>
      <c r="DV173" s="127"/>
      <c r="DW173" s="127"/>
      <c r="DX173" s="127"/>
      <c r="DY173" s="127"/>
      <c r="DZ173" s="127"/>
      <c r="EA173" s="127"/>
      <c r="EB173" s="127"/>
      <c r="EC173" s="127"/>
      <c r="ED173" s="127"/>
      <c r="EE173" s="127"/>
      <c r="EF173" s="127"/>
      <c r="EG173" s="127"/>
      <c r="EH173" s="127"/>
      <c r="EI173" s="127"/>
      <c r="EJ173" s="127"/>
      <c r="EK173" s="127"/>
      <c r="EL173" s="127"/>
      <c r="EM173" s="127"/>
      <c r="EN173" s="127"/>
    </row>
    <row r="174" spans="1:144" s="14" customFormat="1" ht="38.25" hidden="1">
      <c r="A174" s="9"/>
      <c r="B174" s="35" t="s">
        <v>115</v>
      </c>
      <c r="C174" s="37" t="s">
        <v>116</v>
      </c>
      <c r="D174" s="405" t="s">
        <v>15</v>
      </c>
      <c r="E174" s="298">
        <v>5524</v>
      </c>
      <c r="F174" s="298">
        <v>5524</v>
      </c>
      <c r="G174" s="366">
        <f>F174/E174*100</f>
        <v>100</v>
      </c>
      <c r="H174" s="399"/>
      <c r="I174" s="11" t="s">
        <v>117</v>
      </c>
      <c r="J174" s="12" t="s">
        <v>12</v>
      </c>
      <c r="K174" s="257" t="s">
        <v>110</v>
      </c>
      <c r="L174" s="257" t="s">
        <v>110</v>
      </c>
      <c r="M174" s="12">
        <f>L174/K174</f>
        <v>1</v>
      </c>
      <c r="N174" s="396"/>
      <c r="O174" s="910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  <c r="CW174" s="127"/>
      <c r="CX174" s="127"/>
      <c r="CY174" s="127"/>
      <c r="CZ174" s="127"/>
      <c r="DA174" s="127"/>
      <c r="DB174" s="127"/>
      <c r="DC174" s="127"/>
      <c r="DD174" s="127"/>
      <c r="DE174" s="127"/>
      <c r="DF174" s="127"/>
      <c r="DG174" s="127"/>
      <c r="DH174" s="127"/>
      <c r="DI174" s="127"/>
      <c r="DJ174" s="127"/>
      <c r="DK174" s="127"/>
      <c r="DL174" s="127"/>
      <c r="DM174" s="127"/>
      <c r="DN174" s="127"/>
      <c r="DO174" s="127"/>
      <c r="DP174" s="127"/>
      <c r="DQ174" s="127"/>
      <c r="DR174" s="127"/>
      <c r="DS174" s="127"/>
      <c r="DT174" s="127"/>
      <c r="DU174" s="127"/>
      <c r="DV174" s="127"/>
      <c r="DW174" s="127"/>
      <c r="DX174" s="127"/>
      <c r="DY174" s="127"/>
      <c r="DZ174" s="127"/>
      <c r="EA174" s="127"/>
      <c r="EB174" s="127"/>
      <c r="EC174" s="127"/>
      <c r="ED174" s="127"/>
      <c r="EE174" s="127"/>
      <c r="EF174" s="127"/>
      <c r="EG174" s="127"/>
      <c r="EH174" s="127"/>
      <c r="EI174" s="127"/>
      <c r="EJ174" s="127"/>
      <c r="EK174" s="127"/>
      <c r="EL174" s="127"/>
      <c r="EM174" s="127"/>
      <c r="EN174" s="127"/>
    </row>
    <row r="175" spans="1:144" s="14" customFormat="1" ht="41.25" hidden="1" customHeight="1">
      <c r="A175" s="9"/>
      <c r="B175" s="35" t="s">
        <v>118</v>
      </c>
      <c r="C175" s="37" t="s">
        <v>119</v>
      </c>
      <c r="D175" s="405" t="s">
        <v>15</v>
      </c>
      <c r="E175" s="298">
        <v>53.7</v>
      </c>
      <c r="F175" s="298">
        <v>51.7</v>
      </c>
      <c r="G175" s="366">
        <f>F175/E175*100</f>
        <v>96.275605214152705</v>
      </c>
      <c r="H175" s="399"/>
      <c r="I175" s="11" t="s">
        <v>120</v>
      </c>
      <c r="J175" s="12" t="s">
        <v>12</v>
      </c>
      <c r="K175" s="257">
        <v>100</v>
      </c>
      <c r="L175" s="257">
        <v>100</v>
      </c>
      <c r="M175" s="12">
        <f>L175/K175</f>
        <v>1</v>
      </c>
      <c r="N175" s="396"/>
      <c r="O175" s="910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  <c r="CW175" s="127"/>
      <c r="CX175" s="127"/>
      <c r="CY175" s="127"/>
      <c r="CZ175" s="127"/>
      <c r="DA175" s="127"/>
      <c r="DB175" s="127"/>
      <c r="DC175" s="127"/>
      <c r="DD175" s="127"/>
      <c r="DE175" s="127"/>
      <c r="DF175" s="127"/>
      <c r="DG175" s="127"/>
      <c r="DH175" s="127"/>
      <c r="DI175" s="127"/>
      <c r="DJ175" s="127"/>
      <c r="DK175" s="127"/>
      <c r="DL175" s="127"/>
      <c r="DM175" s="127"/>
      <c r="DN175" s="127"/>
      <c r="DO175" s="127"/>
      <c r="DP175" s="127"/>
      <c r="DQ175" s="127"/>
      <c r="DR175" s="127"/>
      <c r="DS175" s="127"/>
      <c r="DT175" s="127"/>
      <c r="DU175" s="127"/>
      <c r="DV175" s="127"/>
      <c r="DW175" s="127"/>
      <c r="DX175" s="127"/>
      <c r="DY175" s="127"/>
      <c r="DZ175" s="127"/>
      <c r="EA175" s="127"/>
      <c r="EB175" s="127"/>
      <c r="EC175" s="127"/>
      <c r="ED175" s="127"/>
      <c r="EE175" s="127"/>
      <c r="EF175" s="127"/>
      <c r="EG175" s="127"/>
      <c r="EH175" s="127"/>
      <c r="EI175" s="127"/>
      <c r="EJ175" s="127"/>
      <c r="EK175" s="127"/>
      <c r="EL175" s="127"/>
      <c r="EM175" s="127"/>
      <c r="EN175" s="127"/>
    </row>
    <row r="176" spans="1:144" s="23" customFormat="1" ht="21" hidden="1" customHeight="1">
      <c r="A176" s="20">
        <f>E176-F176</f>
        <v>2</v>
      </c>
      <c r="B176" s="21"/>
      <c r="C176" s="157" t="s">
        <v>40</v>
      </c>
      <c r="D176" s="402"/>
      <c r="E176" s="302">
        <f>SUM(E172:E175)</f>
        <v>40565.699999999997</v>
      </c>
      <c r="F176" s="302">
        <f>SUM(F172:F175)</f>
        <v>40563.699999999997</v>
      </c>
      <c r="G176" s="366">
        <f>F176/E176*100</f>
        <v>99.995069726394476</v>
      </c>
      <c r="H176" s="399" t="e">
        <f>#REF!/G176*100</f>
        <v>#REF!</v>
      </c>
      <c r="I176" s="16"/>
      <c r="J176" s="22"/>
      <c r="K176" s="260"/>
      <c r="L176" s="260"/>
      <c r="M176" s="17">
        <f>(M175+M174+M173+M172)/4</f>
        <v>1</v>
      </c>
      <c r="N176" s="462" t="e">
        <f>M176*0.4+H176*0.4+'[1]Внесение изменений'!H5*0.2</f>
        <v>#REF!</v>
      </c>
      <c r="O176" s="910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  <c r="BS176" s="72"/>
      <c r="BT176" s="72"/>
      <c r="BU176" s="72"/>
      <c r="BV176" s="72"/>
      <c r="BW176" s="72"/>
      <c r="BX176" s="72"/>
      <c r="BY176" s="72"/>
      <c r="BZ176" s="72"/>
      <c r="CA176" s="72"/>
      <c r="CB176" s="72"/>
      <c r="CC176" s="72"/>
      <c r="CD176" s="72"/>
      <c r="CE176" s="72"/>
      <c r="CF176" s="72"/>
      <c r="CG176" s="72"/>
      <c r="CH176" s="72"/>
      <c r="CI176" s="72"/>
      <c r="CJ176" s="72"/>
      <c r="CK176" s="72"/>
      <c r="CL176" s="72"/>
      <c r="CM176" s="72"/>
      <c r="CN176" s="72"/>
      <c r="CO176" s="72"/>
      <c r="CP176" s="72"/>
      <c r="CQ176" s="72"/>
      <c r="CR176" s="72"/>
      <c r="CS176" s="72"/>
      <c r="CT176" s="72"/>
      <c r="CU176" s="72"/>
      <c r="CV176" s="72"/>
      <c r="CW176" s="72"/>
      <c r="CX176" s="72"/>
      <c r="CY176" s="72"/>
      <c r="CZ176" s="72"/>
      <c r="DA176" s="72"/>
      <c r="DB176" s="72"/>
      <c r="DC176" s="72"/>
      <c r="DD176" s="72"/>
      <c r="DE176" s="72"/>
      <c r="DF176" s="72"/>
      <c r="DG176" s="72"/>
      <c r="DH176" s="72"/>
      <c r="DI176" s="72"/>
      <c r="DJ176" s="72"/>
      <c r="DK176" s="72"/>
      <c r="DL176" s="72"/>
      <c r="DM176" s="72"/>
      <c r="DN176" s="72"/>
      <c r="DO176" s="72"/>
      <c r="DP176" s="72"/>
      <c r="DQ176" s="72"/>
      <c r="DR176" s="72"/>
      <c r="DS176" s="72"/>
      <c r="DT176" s="72"/>
      <c r="DU176" s="72"/>
      <c r="DV176" s="72"/>
      <c r="DW176" s="72"/>
      <c r="DX176" s="72"/>
      <c r="DY176" s="72"/>
      <c r="DZ176" s="72"/>
      <c r="EA176" s="72"/>
      <c r="EB176" s="72"/>
      <c r="EC176" s="72"/>
      <c r="ED176" s="72"/>
      <c r="EE176" s="72"/>
      <c r="EF176" s="72"/>
      <c r="EG176" s="72"/>
      <c r="EH176" s="72"/>
      <c r="EI176" s="72"/>
      <c r="EJ176" s="72"/>
      <c r="EK176" s="72"/>
      <c r="EL176" s="72"/>
      <c r="EM176" s="72"/>
      <c r="EN176" s="72"/>
    </row>
    <row r="177" spans="1:144" ht="21" hidden="1" customHeight="1">
      <c r="A177" s="7"/>
      <c r="B177" s="18"/>
      <c r="C177" s="805" t="s">
        <v>121</v>
      </c>
      <c r="D177" s="806"/>
      <c r="E177" s="806"/>
      <c r="F177" s="806"/>
      <c r="G177" s="806"/>
      <c r="H177" s="806"/>
      <c r="I177" s="807"/>
      <c r="J177" s="29"/>
      <c r="K177" s="267"/>
      <c r="L177" s="267"/>
      <c r="M177" s="29"/>
      <c r="N177" s="464"/>
      <c r="O177" s="910"/>
    </row>
    <row r="178" spans="1:144" ht="18.75" hidden="1" customHeight="1">
      <c r="A178" s="7"/>
      <c r="B178" s="8"/>
      <c r="C178" s="785" t="s">
        <v>122</v>
      </c>
      <c r="D178" s="786"/>
      <c r="E178" s="786"/>
      <c r="F178" s="786"/>
      <c r="G178" s="786"/>
      <c r="H178" s="786"/>
      <c r="I178" s="786"/>
      <c r="J178" s="786"/>
      <c r="K178" s="786"/>
      <c r="L178" s="786"/>
      <c r="M178" s="26"/>
      <c r="N178" s="461"/>
      <c r="O178" s="910"/>
    </row>
    <row r="179" spans="1:144" ht="17.25" hidden="1" customHeight="1">
      <c r="A179" s="7"/>
      <c r="B179" s="8"/>
      <c r="C179" s="785" t="s">
        <v>123</v>
      </c>
      <c r="D179" s="786"/>
      <c r="E179" s="786"/>
      <c r="F179" s="786"/>
      <c r="G179" s="786"/>
      <c r="H179" s="786"/>
      <c r="I179" s="786"/>
      <c r="J179" s="786"/>
      <c r="K179" s="786"/>
      <c r="L179" s="786"/>
      <c r="M179" s="26"/>
      <c r="N179" s="461"/>
      <c r="O179" s="910"/>
    </row>
    <row r="180" spans="1:144" s="14" customFormat="1" ht="44.25" hidden="1" customHeight="1">
      <c r="A180" s="9"/>
      <c r="B180" s="35" t="s">
        <v>124</v>
      </c>
      <c r="C180" s="36" t="s">
        <v>125</v>
      </c>
      <c r="D180" s="406" t="s">
        <v>16</v>
      </c>
      <c r="E180" s="298">
        <v>5831</v>
      </c>
      <c r="F180" s="298">
        <v>5831</v>
      </c>
      <c r="G180" s="366">
        <f>F180/E180*100</f>
        <v>100</v>
      </c>
      <c r="H180" s="399"/>
      <c r="I180" s="11" t="s">
        <v>126</v>
      </c>
      <c r="J180" s="12" t="s">
        <v>12</v>
      </c>
      <c r="K180" s="257">
        <v>100</v>
      </c>
      <c r="L180" s="257">
        <v>100</v>
      </c>
      <c r="M180" s="12">
        <f>L180/K180</f>
        <v>1</v>
      </c>
      <c r="N180" s="396"/>
      <c r="O180" s="910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  <c r="CW180" s="127"/>
      <c r="CX180" s="127"/>
      <c r="CY180" s="127"/>
      <c r="CZ180" s="127"/>
      <c r="DA180" s="127"/>
      <c r="DB180" s="127"/>
      <c r="DC180" s="127"/>
      <c r="DD180" s="127"/>
      <c r="DE180" s="127"/>
      <c r="DF180" s="127"/>
      <c r="DG180" s="127"/>
      <c r="DH180" s="127"/>
      <c r="DI180" s="127"/>
      <c r="DJ180" s="127"/>
      <c r="DK180" s="127"/>
      <c r="DL180" s="127"/>
      <c r="DM180" s="127"/>
      <c r="DN180" s="127"/>
      <c r="DO180" s="127"/>
      <c r="DP180" s="127"/>
      <c r="DQ180" s="127"/>
      <c r="DR180" s="127"/>
      <c r="DS180" s="127"/>
      <c r="DT180" s="127"/>
      <c r="DU180" s="127"/>
      <c r="DV180" s="127"/>
      <c r="DW180" s="127"/>
      <c r="DX180" s="127"/>
      <c r="DY180" s="127"/>
      <c r="DZ180" s="127"/>
      <c r="EA180" s="127"/>
      <c r="EB180" s="127"/>
      <c r="EC180" s="127"/>
      <c r="ED180" s="127"/>
      <c r="EE180" s="127"/>
      <c r="EF180" s="127"/>
      <c r="EG180" s="127"/>
      <c r="EH180" s="127"/>
      <c r="EI180" s="127"/>
      <c r="EJ180" s="127"/>
      <c r="EK180" s="127"/>
      <c r="EL180" s="127"/>
      <c r="EM180" s="127"/>
      <c r="EN180" s="127"/>
    </row>
    <row r="181" spans="1:144" s="14" customFormat="1" ht="32.25" hidden="1" customHeight="1">
      <c r="A181" s="9"/>
      <c r="B181" s="10"/>
      <c r="C181" s="36"/>
      <c r="D181" s="404"/>
      <c r="E181" s="298"/>
      <c r="F181" s="298"/>
      <c r="G181" s="366"/>
      <c r="H181" s="399"/>
      <c r="I181" s="11" t="s">
        <v>127</v>
      </c>
      <c r="J181" s="12" t="s">
        <v>12</v>
      </c>
      <c r="K181" s="257">
        <v>97</v>
      </c>
      <c r="L181" s="257">
        <v>99</v>
      </c>
      <c r="M181" s="12">
        <f>L181/K181</f>
        <v>1.0206185567010309</v>
      </c>
      <c r="N181" s="396"/>
      <c r="O181" s="910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  <c r="CW181" s="127"/>
      <c r="CX181" s="127"/>
      <c r="CY181" s="127"/>
      <c r="CZ181" s="127"/>
      <c r="DA181" s="127"/>
      <c r="DB181" s="127"/>
      <c r="DC181" s="127"/>
      <c r="DD181" s="127"/>
      <c r="DE181" s="127"/>
      <c r="DF181" s="127"/>
      <c r="DG181" s="127"/>
      <c r="DH181" s="127"/>
      <c r="DI181" s="127"/>
      <c r="DJ181" s="127"/>
      <c r="DK181" s="127"/>
      <c r="DL181" s="127"/>
      <c r="DM181" s="127"/>
      <c r="DN181" s="127"/>
      <c r="DO181" s="127"/>
      <c r="DP181" s="127"/>
      <c r="DQ181" s="127"/>
      <c r="DR181" s="127"/>
      <c r="DS181" s="127"/>
      <c r="DT181" s="127"/>
      <c r="DU181" s="127"/>
      <c r="DV181" s="127"/>
      <c r="DW181" s="127"/>
      <c r="DX181" s="127"/>
      <c r="DY181" s="127"/>
      <c r="DZ181" s="127"/>
      <c r="EA181" s="127"/>
      <c r="EB181" s="127"/>
      <c r="EC181" s="127"/>
      <c r="ED181" s="127"/>
      <c r="EE181" s="127"/>
      <c r="EF181" s="127"/>
      <c r="EG181" s="127"/>
      <c r="EH181" s="127"/>
      <c r="EI181" s="127"/>
      <c r="EJ181" s="127"/>
      <c r="EK181" s="127"/>
      <c r="EL181" s="127"/>
      <c r="EM181" s="127"/>
      <c r="EN181" s="127"/>
    </row>
    <row r="182" spans="1:144" s="14" customFormat="1" ht="55.5" hidden="1" customHeight="1">
      <c r="A182" s="9"/>
      <c r="B182" s="10"/>
      <c r="C182" s="36"/>
      <c r="D182" s="404"/>
      <c r="E182" s="298"/>
      <c r="F182" s="298"/>
      <c r="G182" s="366"/>
      <c r="H182" s="399"/>
      <c r="I182" s="11" t="s">
        <v>128</v>
      </c>
      <c r="J182" s="12" t="s">
        <v>23</v>
      </c>
      <c r="K182" s="257">
        <v>0.3</v>
      </c>
      <c r="L182" s="257">
        <v>7.0000000000000007E-2</v>
      </c>
      <c r="M182" s="12">
        <f>K182/L182</f>
        <v>4.2857142857142856</v>
      </c>
      <c r="N182" s="396"/>
      <c r="O182" s="910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  <c r="CW182" s="127"/>
      <c r="CX182" s="127"/>
      <c r="CY182" s="127"/>
      <c r="CZ182" s="127"/>
      <c r="DA182" s="127"/>
      <c r="DB182" s="127"/>
      <c r="DC182" s="127"/>
      <c r="DD182" s="127"/>
      <c r="DE182" s="127"/>
      <c r="DF182" s="127"/>
      <c r="DG182" s="127"/>
      <c r="DH182" s="127"/>
      <c r="DI182" s="127"/>
      <c r="DJ182" s="127"/>
      <c r="DK182" s="127"/>
      <c r="DL182" s="127"/>
      <c r="DM182" s="127"/>
      <c r="DN182" s="127"/>
      <c r="DO182" s="127"/>
      <c r="DP182" s="127"/>
      <c r="DQ182" s="127"/>
      <c r="DR182" s="127"/>
      <c r="DS182" s="127"/>
      <c r="DT182" s="127"/>
      <c r="DU182" s="127"/>
      <c r="DV182" s="127"/>
      <c r="DW182" s="127"/>
      <c r="DX182" s="127"/>
      <c r="DY182" s="127"/>
      <c r="DZ182" s="127"/>
      <c r="EA182" s="127"/>
      <c r="EB182" s="127"/>
      <c r="EC182" s="127"/>
      <c r="ED182" s="127"/>
      <c r="EE182" s="127"/>
      <c r="EF182" s="127"/>
      <c r="EG182" s="127"/>
      <c r="EH182" s="127"/>
      <c r="EI182" s="127"/>
      <c r="EJ182" s="127"/>
      <c r="EK182" s="127"/>
      <c r="EL182" s="127"/>
      <c r="EM182" s="127"/>
      <c r="EN182" s="127"/>
    </row>
    <row r="183" spans="1:144" s="14" customFormat="1" ht="99" hidden="1" customHeight="1">
      <c r="A183" s="9"/>
      <c r="B183" s="10"/>
      <c r="C183" s="36"/>
      <c r="D183" s="404"/>
      <c r="E183" s="298"/>
      <c r="F183" s="298"/>
      <c r="G183" s="366"/>
      <c r="H183" s="399"/>
      <c r="I183" s="11" t="s">
        <v>129</v>
      </c>
      <c r="J183" s="12" t="s">
        <v>12</v>
      </c>
      <c r="K183" s="257">
        <v>100</v>
      </c>
      <c r="L183" s="257">
        <v>100</v>
      </c>
      <c r="M183" s="12">
        <f>K183/L183</f>
        <v>1</v>
      </c>
      <c r="N183" s="396"/>
      <c r="O183" s="910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  <c r="CW183" s="127"/>
      <c r="CX183" s="127"/>
      <c r="CY183" s="127"/>
      <c r="CZ183" s="127"/>
      <c r="DA183" s="127"/>
      <c r="DB183" s="127"/>
      <c r="DC183" s="127"/>
      <c r="DD183" s="127"/>
      <c r="DE183" s="127"/>
      <c r="DF183" s="127"/>
      <c r="DG183" s="127"/>
      <c r="DH183" s="127"/>
      <c r="DI183" s="127"/>
      <c r="DJ183" s="127"/>
      <c r="DK183" s="127"/>
      <c r="DL183" s="127"/>
      <c r="DM183" s="127"/>
      <c r="DN183" s="127"/>
      <c r="DO183" s="127"/>
      <c r="DP183" s="127"/>
      <c r="DQ183" s="127"/>
      <c r="DR183" s="127"/>
      <c r="DS183" s="127"/>
      <c r="DT183" s="127"/>
      <c r="DU183" s="127"/>
      <c r="DV183" s="127"/>
      <c r="DW183" s="127"/>
      <c r="DX183" s="127"/>
      <c r="DY183" s="127"/>
      <c r="DZ183" s="127"/>
      <c r="EA183" s="127"/>
      <c r="EB183" s="127"/>
      <c r="EC183" s="127"/>
      <c r="ED183" s="127"/>
      <c r="EE183" s="127"/>
      <c r="EF183" s="127"/>
      <c r="EG183" s="127"/>
      <c r="EH183" s="127"/>
      <c r="EI183" s="127"/>
      <c r="EJ183" s="127"/>
      <c r="EK183" s="127"/>
      <c r="EL183" s="127"/>
      <c r="EM183" s="127"/>
      <c r="EN183" s="127"/>
    </row>
    <row r="184" spans="1:144" s="23" customFormat="1" ht="21" hidden="1" customHeight="1">
      <c r="A184" s="20"/>
      <c r="B184" s="21"/>
      <c r="C184" s="157" t="s">
        <v>48</v>
      </c>
      <c r="D184" s="402"/>
      <c r="E184" s="302">
        <f>E180</f>
        <v>5831</v>
      </c>
      <c r="F184" s="302">
        <f>F180</f>
        <v>5831</v>
      </c>
      <c r="G184" s="366">
        <f>F184/E184*100</f>
        <v>100</v>
      </c>
      <c r="H184" s="399" t="e">
        <f>#REF!/G184*100</f>
        <v>#REF!</v>
      </c>
      <c r="I184" s="16"/>
      <c r="J184" s="22"/>
      <c r="K184" s="260"/>
      <c r="L184" s="260"/>
      <c r="M184" s="25">
        <f>(M183+M182+M181+M180)/4</f>
        <v>1.8265832106038291</v>
      </c>
      <c r="N184" s="465" t="e">
        <f>M184*0.4+H184*0.4+'[1]Внесение изменений'!H5*0.2</f>
        <v>#REF!</v>
      </c>
      <c r="O184" s="910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  <c r="BS184" s="72"/>
      <c r="BT184" s="72"/>
      <c r="BU184" s="72"/>
      <c r="BV184" s="72"/>
      <c r="BW184" s="72"/>
      <c r="BX184" s="72"/>
      <c r="BY184" s="72"/>
      <c r="BZ184" s="72"/>
      <c r="CA184" s="72"/>
      <c r="CB184" s="72"/>
      <c r="CC184" s="72"/>
      <c r="CD184" s="72"/>
      <c r="CE184" s="72"/>
      <c r="CF184" s="72"/>
      <c r="CG184" s="72"/>
      <c r="CH184" s="72"/>
      <c r="CI184" s="72"/>
      <c r="CJ184" s="72"/>
      <c r="CK184" s="72"/>
      <c r="CL184" s="72"/>
      <c r="CM184" s="72"/>
      <c r="CN184" s="72"/>
      <c r="CO184" s="72"/>
      <c r="CP184" s="72"/>
      <c r="CQ184" s="72"/>
      <c r="CR184" s="72"/>
      <c r="CS184" s="72"/>
      <c r="CT184" s="72"/>
      <c r="CU184" s="72"/>
      <c r="CV184" s="72"/>
      <c r="CW184" s="72"/>
      <c r="CX184" s="72"/>
      <c r="CY184" s="72"/>
      <c r="CZ184" s="72"/>
      <c r="DA184" s="72"/>
      <c r="DB184" s="72"/>
      <c r="DC184" s="72"/>
      <c r="DD184" s="72"/>
      <c r="DE184" s="72"/>
      <c r="DF184" s="72"/>
      <c r="DG184" s="72"/>
      <c r="DH184" s="72"/>
      <c r="DI184" s="72"/>
      <c r="DJ184" s="72"/>
      <c r="DK184" s="72"/>
      <c r="DL184" s="72"/>
      <c r="DM184" s="72"/>
      <c r="DN184" s="72"/>
      <c r="DO184" s="72"/>
      <c r="DP184" s="72"/>
      <c r="DQ184" s="72"/>
      <c r="DR184" s="72"/>
      <c r="DS184" s="72"/>
      <c r="DT184" s="72"/>
      <c r="DU184" s="72"/>
      <c r="DV184" s="72"/>
      <c r="DW184" s="72"/>
      <c r="DX184" s="72"/>
      <c r="DY184" s="72"/>
      <c r="DZ184" s="72"/>
      <c r="EA184" s="72"/>
      <c r="EB184" s="72"/>
      <c r="EC184" s="72"/>
      <c r="ED184" s="72"/>
      <c r="EE184" s="72"/>
      <c r="EF184" s="72"/>
      <c r="EG184" s="72"/>
      <c r="EH184" s="72"/>
      <c r="EI184" s="72"/>
      <c r="EJ184" s="72"/>
      <c r="EK184" s="72"/>
      <c r="EL184" s="72"/>
      <c r="EM184" s="72"/>
      <c r="EN184" s="72"/>
    </row>
    <row r="185" spans="1:144" ht="20.25" hidden="1" customHeight="1">
      <c r="A185" s="7"/>
      <c r="B185" s="18"/>
      <c r="C185" s="805" t="s">
        <v>130</v>
      </c>
      <c r="D185" s="806"/>
      <c r="E185" s="806"/>
      <c r="F185" s="806"/>
      <c r="G185" s="806"/>
      <c r="H185" s="806"/>
      <c r="I185" s="807"/>
      <c r="J185" s="29"/>
      <c r="K185" s="267"/>
      <c r="L185" s="267"/>
      <c r="M185" s="29"/>
      <c r="N185" s="464"/>
      <c r="O185" s="910"/>
    </row>
    <row r="186" spans="1:144" ht="34.5" hidden="1" customHeight="1">
      <c r="A186" s="7"/>
      <c r="B186" s="8"/>
      <c r="C186" s="785" t="s">
        <v>131</v>
      </c>
      <c r="D186" s="786"/>
      <c r="E186" s="786"/>
      <c r="F186" s="786"/>
      <c r="G186" s="786"/>
      <c r="H186" s="786"/>
      <c r="I186" s="786"/>
      <c r="J186" s="786"/>
      <c r="K186" s="786"/>
      <c r="L186" s="786"/>
      <c r="M186" s="26"/>
      <c r="N186" s="461"/>
      <c r="O186" s="910"/>
    </row>
    <row r="187" spans="1:144" ht="21.75" hidden="1" customHeight="1">
      <c r="A187" s="7"/>
      <c r="B187" s="8"/>
      <c r="C187" s="785" t="s">
        <v>132</v>
      </c>
      <c r="D187" s="786"/>
      <c r="E187" s="786"/>
      <c r="F187" s="786"/>
      <c r="G187" s="786"/>
      <c r="H187" s="786"/>
      <c r="I187" s="786"/>
      <c r="J187" s="786"/>
      <c r="K187" s="786"/>
      <c r="L187" s="786"/>
      <c r="M187" s="26"/>
      <c r="N187" s="461"/>
      <c r="O187" s="910"/>
    </row>
    <row r="188" spans="1:144" s="14" customFormat="1" ht="94.5" hidden="1" customHeight="1">
      <c r="A188" s="9"/>
      <c r="B188" s="35" t="s">
        <v>133</v>
      </c>
      <c r="C188" s="38" t="s">
        <v>134</v>
      </c>
      <c r="D188" s="404"/>
      <c r="E188" s="298">
        <f>SUM(E189:E190)</f>
        <v>206.4</v>
      </c>
      <c r="F188" s="298">
        <f>SUM(F189:F190)</f>
        <v>159.80000000000001</v>
      </c>
      <c r="G188" s="366">
        <f t="shared" ref="G188:G195" si="13">F188/E188*100</f>
        <v>77.422480620155042</v>
      </c>
      <c r="H188" s="399"/>
      <c r="I188" s="11" t="s">
        <v>135</v>
      </c>
      <c r="J188" s="12" t="s">
        <v>12</v>
      </c>
      <c r="K188" s="257">
        <v>4</v>
      </c>
      <c r="L188" s="257">
        <v>4</v>
      </c>
      <c r="M188" s="12">
        <f>L188/K188</f>
        <v>1</v>
      </c>
      <c r="N188" s="396"/>
      <c r="O188" s="910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  <c r="CW188" s="127"/>
      <c r="CX188" s="127"/>
      <c r="CY188" s="127"/>
      <c r="CZ188" s="127"/>
      <c r="DA188" s="127"/>
      <c r="DB188" s="127"/>
      <c r="DC188" s="127"/>
      <c r="DD188" s="127"/>
      <c r="DE188" s="127"/>
      <c r="DF188" s="127"/>
      <c r="DG188" s="127"/>
      <c r="DH188" s="127"/>
      <c r="DI188" s="127"/>
      <c r="DJ188" s="127"/>
      <c r="DK188" s="127"/>
      <c r="DL188" s="127"/>
      <c r="DM188" s="127"/>
      <c r="DN188" s="127"/>
      <c r="DO188" s="127"/>
      <c r="DP188" s="127"/>
      <c r="DQ188" s="127"/>
      <c r="DR188" s="127"/>
      <c r="DS188" s="127"/>
      <c r="DT188" s="127"/>
      <c r="DU188" s="127"/>
      <c r="DV188" s="127"/>
      <c r="DW188" s="127"/>
      <c r="DX188" s="127"/>
      <c r="DY188" s="127"/>
      <c r="DZ188" s="127"/>
      <c r="EA188" s="127"/>
      <c r="EB188" s="127"/>
      <c r="EC188" s="127"/>
      <c r="ED188" s="127"/>
      <c r="EE188" s="127"/>
      <c r="EF188" s="127"/>
      <c r="EG188" s="127"/>
      <c r="EH188" s="127"/>
      <c r="EI188" s="127"/>
      <c r="EJ188" s="127"/>
      <c r="EK188" s="127"/>
      <c r="EL188" s="127"/>
      <c r="EM188" s="127"/>
      <c r="EN188" s="127"/>
    </row>
    <row r="189" spans="1:144" s="14" customFormat="1" hidden="1">
      <c r="A189" s="9"/>
      <c r="B189" s="10"/>
      <c r="C189" s="36"/>
      <c r="D189" s="404" t="s">
        <v>15</v>
      </c>
      <c r="E189" s="298">
        <v>9.4</v>
      </c>
      <c r="F189" s="298">
        <v>9.4</v>
      </c>
      <c r="G189" s="366">
        <f t="shared" si="13"/>
        <v>100</v>
      </c>
      <c r="H189" s="399"/>
      <c r="I189" s="11"/>
      <c r="J189" s="12"/>
      <c r="K189" s="257"/>
      <c r="L189" s="257"/>
      <c r="M189" s="13"/>
      <c r="N189" s="396"/>
      <c r="O189" s="910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  <c r="CW189" s="127"/>
      <c r="CX189" s="127"/>
      <c r="CY189" s="127"/>
      <c r="CZ189" s="127"/>
      <c r="DA189" s="127"/>
      <c r="DB189" s="127"/>
      <c r="DC189" s="127"/>
      <c r="DD189" s="127"/>
      <c r="DE189" s="127"/>
      <c r="DF189" s="127"/>
      <c r="DG189" s="127"/>
      <c r="DH189" s="127"/>
      <c r="DI189" s="127"/>
      <c r="DJ189" s="127"/>
      <c r="DK189" s="127"/>
      <c r="DL189" s="127"/>
      <c r="DM189" s="127"/>
      <c r="DN189" s="127"/>
      <c r="DO189" s="127"/>
      <c r="DP189" s="127"/>
      <c r="DQ189" s="127"/>
      <c r="DR189" s="127"/>
      <c r="DS189" s="127"/>
      <c r="DT189" s="127"/>
      <c r="DU189" s="127"/>
      <c r="DV189" s="127"/>
      <c r="DW189" s="127"/>
      <c r="DX189" s="127"/>
      <c r="DY189" s="127"/>
      <c r="DZ189" s="127"/>
      <c r="EA189" s="127"/>
      <c r="EB189" s="127"/>
      <c r="EC189" s="127"/>
      <c r="ED189" s="127"/>
      <c r="EE189" s="127"/>
      <c r="EF189" s="127"/>
      <c r="EG189" s="127"/>
      <c r="EH189" s="127"/>
      <c r="EI189" s="127"/>
      <c r="EJ189" s="127"/>
      <c r="EK189" s="127"/>
      <c r="EL189" s="127"/>
      <c r="EM189" s="127"/>
      <c r="EN189" s="127"/>
    </row>
    <row r="190" spans="1:144" s="14" customFormat="1" ht="12.75" hidden="1">
      <c r="A190" s="9"/>
      <c r="B190" s="10"/>
      <c r="C190" s="34"/>
      <c r="D190" s="405" t="s">
        <v>16</v>
      </c>
      <c r="E190" s="298">
        <v>197</v>
      </c>
      <c r="F190" s="298">
        <v>150.4</v>
      </c>
      <c r="G190" s="366">
        <f t="shared" si="13"/>
        <v>76.345177664974614</v>
      </c>
      <c r="H190" s="399"/>
      <c r="I190" s="11"/>
      <c r="J190" s="12"/>
      <c r="K190" s="257"/>
      <c r="L190" s="257"/>
      <c r="M190" s="13"/>
      <c r="N190" s="396"/>
      <c r="O190" s="910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  <c r="CW190" s="127"/>
      <c r="CX190" s="127"/>
      <c r="CY190" s="127"/>
      <c r="CZ190" s="127"/>
      <c r="DA190" s="127"/>
      <c r="DB190" s="127"/>
      <c r="DC190" s="127"/>
      <c r="DD190" s="127"/>
      <c r="DE190" s="127"/>
      <c r="DF190" s="127"/>
      <c r="DG190" s="127"/>
      <c r="DH190" s="127"/>
      <c r="DI190" s="127"/>
      <c r="DJ190" s="127"/>
      <c r="DK190" s="127"/>
      <c r="DL190" s="127"/>
      <c r="DM190" s="127"/>
      <c r="DN190" s="127"/>
      <c r="DO190" s="127"/>
      <c r="DP190" s="127"/>
      <c r="DQ190" s="127"/>
      <c r="DR190" s="127"/>
      <c r="DS190" s="127"/>
      <c r="DT190" s="127"/>
      <c r="DU190" s="127"/>
      <c r="DV190" s="127"/>
      <c r="DW190" s="127"/>
      <c r="DX190" s="127"/>
      <c r="DY190" s="127"/>
      <c r="DZ190" s="127"/>
      <c r="EA190" s="127"/>
      <c r="EB190" s="127"/>
      <c r="EC190" s="127"/>
      <c r="ED190" s="127"/>
      <c r="EE190" s="127"/>
      <c r="EF190" s="127"/>
      <c r="EG190" s="127"/>
      <c r="EH190" s="127"/>
      <c r="EI190" s="127"/>
      <c r="EJ190" s="127"/>
      <c r="EK190" s="127"/>
      <c r="EL190" s="127"/>
      <c r="EM190" s="127"/>
      <c r="EN190" s="127"/>
    </row>
    <row r="191" spans="1:144" s="23" customFormat="1" ht="21" hidden="1" customHeight="1">
      <c r="A191" s="20">
        <f>E191-F191</f>
        <v>46.599999999999994</v>
      </c>
      <c r="B191" s="21"/>
      <c r="C191" s="157" t="s">
        <v>64</v>
      </c>
      <c r="D191" s="402"/>
      <c r="E191" s="302">
        <f>E188</f>
        <v>206.4</v>
      </c>
      <c r="F191" s="302">
        <f>F188</f>
        <v>159.80000000000001</v>
      </c>
      <c r="G191" s="366">
        <f t="shared" si="13"/>
        <v>77.422480620155042</v>
      </c>
      <c r="H191" s="399" t="e">
        <f>#REF!/G191*100</f>
        <v>#REF!</v>
      </c>
      <c r="I191" s="16"/>
      <c r="J191" s="22"/>
      <c r="K191" s="260"/>
      <c r="L191" s="260"/>
      <c r="M191" s="25">
        <f>M188/1</f>
        <v>1</v>
      </c>
      <c r="N191" s="465" t="e">
        <f>M191*0.4+H191*0.4+'[1]Внесение изменений'!H5*0.2</f>
        <v>#REF!</v>
      </c>
      <c r="O191" s="910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72"/>
      <c r="BC191" s="72"/>
      <c r="BD191" s="72"/>
      <c r="BE191" s="72"/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  <c r="BS191" s="72"/>
      <c r="BT191" s="72"/>
      <c r="BU191" s="72"/>
      <c r="BV191" s="72"/>
      <c r="BW191" s="72"/>
      <c r="BX191" s="72"/>
      <c r="BY191" s="72"/>
      <c r="BZ191" s="72"/>
      <c r="CA191" s="72"/>
      <c r="CB191" s="72"/>
      <c r="CC191" s="72"/>
      <c r="CD191" s="72"/>
      <c r="CE191" s="72"/>
      <c r="CF191" s="72"/>
      <c r="CG191" s="72"/>
      <c r="CH191" s="72"/>
      <c r="CI191" s="72"/>
      <c r="CJ191" s="72"/>
      <c r="CK191" s="72"/>
      <c r="CL191" s="72"/>
      <c r="CM191" s="72"/>
      <c r="CN191" s="72"/>
      <c r="CO191" s="72"/>
      <c r="CP191" s="72"/>
      <c r="CQ191" s="72"/>
      <c r="CR191" s="72"/>
      <c r="CS191" s="72"/>
      <c r="CT191" s="72"/>
      <c r="CU191" s="72"/>
      <c r="CV191" s="72"/>
      <c r="CW191" s="72"/>
      <c r="CX191" s="72"/>
      <c r="CY191" s="72"/>
      <c r="CZ191" s="72"/>
      <c r="DA191" s="72"/>
      <c r="DB191" s="72"/>
      <c r="DC191" s="72"/>
      <c r="DD191" s="72"/>
      <c r="DE191" s="72"/>
      <c r="DF191" s="72"/>
      <c r="DG191" s="72"/>
      <c r="DH191" s="72"/>
      <c r="DI191" s="72"/>
      <c r="DJ191" s="72"/>
      <c r="DK191" s="72"/>
      <c r="DL191" s="72"/>
      <c r="DM191" s="72"/>
      <c r="DN191" s="72"/>
      <c r="DO191" s="72"/>
      <c r="DP191" s="72"/>
      <c r="DQ191" s="72"/>
      <c r="DR191" s="72"/>
      <c r="DS191" s="72"/>
      <c r="DT191" s="72"/>
      <c r="DU191" s="72"/>
      <c r="DV191" s="72"/>
      <c r="DW191" s="72"/>
      <c r="DX191" s="72"/>
      <c r="DY191" s="72"/>
      <c r="DZ191" s="72"/>
      <c r="EA191" s="72"/>
      <c r="EB191" s="72"/>
      <c r="EC191" s="72"/>
      <c r="ED191" s="72"/>
      <c r="EE191" s="72"/>
      <c r="EF191" s="72"/>
      <c r="EG191" s="72"/>
      <c r="EH191" s="72"/>
      <c r="EI191" s="72"/>
      <c r="EJ191" s="72"/>
      <c r="EK191" s="72"/>
      <c r="EL191" s="72"/>
      <c r="EM191" s="72"/>
      <c r="EN191" s="72"/>
    </row>
    <row r="192" spans="1:144" s="23" customFormat="1" ht="40.5" hidden="1" customHeight="1">
      <c r="A192" s="20" t="e">
        <f>F192/F464*100</f>
        <v>#DIV/0!</v>
      </c>
      <c r="B192" s="30"/>
      <c r="C192" s="158" t="s">
        <v>136</v>
      </c>
      <c r="D192" s="30"/>
      <c r="E192" s="306">
        <f>E191+E184+E176+E166</f>
        <v>298755856.10000002</v>
      </c>
      <c r="F192" s="306">
        <f>F191+F184+F176+F166</f>
        <v>298159375.74000001</v>
      </c>
      <c r="G192" s="366">
        <f>F192/E192*100</f>
        <v>99.800345215726793</v>
      </c>
      <c r="H192" s="442" t="e">
        <f>#REF!/G192*100</f>
        <v>#REF!</v>
      </c>
      <c r="I192" s="877" t="s">
        <v>137</v>
      </c>
      <c r="J192" s="878"/>
      <c r="K192" s="878"/>
      <c r="L192" s="878"/>
      <c r="M192" s="33" t="e">
        <f>(M188+M183+M182+M181+M180+M175+M174+M173+M172+#REF!+#REF!+M151+M133+M131+#REF!+M130+M125+M124)/17</f>
        <v>#REF!</v>
      </c>
      <c r="N192" s="470" t="e">
        <f>M192*0.4+H192*0.4+1*0.2</f>
        <v>#REF!</v>
      </c>
      <c r="O192" s="910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72"/>
      <c r="BC192" s="72"/>
      <c r="BD192" s="72"/>
      <c r="BE192" s="72"/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  <c r="BS192" s="72"/>
      <c r="BT192" s="72"/>
      <c r="BU192" s="72"/>
      <c r="BV192" s="72"/>
      <c r="BW192" s="72"/>
      <c r="BX192" s="72"/>
      <c r="BY192" s="72"/>
      <c r="BZ192" s="72"/>
      <c r="CA192" s="72"/>
      <c r="CB192" s="72"/>
      <c r="CC192" s="72"/>
      <c r="CD192" s="72"/>
      <c r="CE192" s="72"/>
      <c r="CF192" s="72"/>
      <c r="CG192" s="72"/>
      <c r="CH192" s="72"/>
      <c r="CI192" s="72"/>
      <c r="CJ192" s="72"/>
      <c r="CK192" s="72"/>
      <c r="CL192" s="72"/>
      <c r="CM192" s="72"/>
      <c r="CN192" s="72"/>
      <c r="CO192" s="72"/>
      <c r="CP192" s="72"/>
      <c r="CQ192" s="72"/>
      <c r="CR192" s="72"/>
      <c r="CS192" s="72"/>
      <c r="CT192" s="72"/>
      <c r="CU192" s="72"/>
      <c r="CV192" s="72"/>
      <c r="CW192" s="72"/>
      <c r="CX192" s="72"/>
      <c r="CY192" s="72"/>
      <c r="CZ192" s="72"/>
      <c r="DA192" s="72"/>
      <c r="DB192" s="72"/>
      <c r="DC192" s="72"/>
      <c r="DD192" s="72"/>
      <c r="DE192" s="72"/>
      <c r="DF192" s="72"/>
      <c r="DG192" s="72"/>
      <c r="DH192" s="72"/>
      <c r="DI192" s="72"/>
      <c r="DJ192" s="72"/>
      <c r="DK192" s="72"/>
      <c r="DL192" s="72"/>
      <c r="DM192" s="72"/>
      <c r="DN192" s="72"/>
      <c r="DO192" s="72"/>
      <c r="DP192" s="72"/>
      <c r="DQ192" s="72"/>
      <c r="DR192" s="72"/>
      <c r="DS192" s="72"/>
      <c r="DT192" s="72"/>
      <c r="DU192" s="72"/>
      <c r="DV192" s="72"/>
      <c r="DW192" s="72"/>
      <c r="DX192" s="72"/>
      <c r="DY192" s="72"/>
      <c r="DZ192" s="72"/>
      <c r="EA192" s="72"/>
      <c r="EB192" s="72"/>
      <c r="EC192" s="72"/>
      <c r="ED192" s="72"/>
      <c r="EE192" s="72"/>
      <c r="EF192" s="72"/>
      <c r="EG192" s="72"/>
      <c r="EH192" s="72"/>
      <c r="EI192" s="72"/>
      <c r="EJ192" s="72"/>
      <c r="EK192" s="72"/>
      <c r="EL192" s="72"/>
      <c r="EM192" s="72"/>
      <c r="EN192" s="72"/>
    </row>
    <row r="193" spans="1:144" s="23" customFormat="1" ht="18.75" hidden="1">
      <c r="A193" s="20">
        <f>E192-F192</f>
        <v>596480.36000001431</v>
      </c>
      <c r="B193" s="30"/>
      <c r="C193" s="158" t="s">
        <v>99</v>
      </c>
      <c r="D193" s="30"/>
      <c r="E193" s="306" t="e">
        <f>E189+E174+#REF!+#REF!+#REF!+#REF!+E130+E175+#REF!+E148+E156</f>
        <v>#REF!</v>
      </c>
      <c r="F193" s="306" t="e">
        <f>F189+F174+#REF!+#REF!+#REF!+#REF!+F130+F175+#REF!+F148+F156</f>
        <v>#REF!</v>
      </c>
      <c r="G193" s="366" t="e">
        <f t="shared" si="13"/>
        <v>#REF!</v>
      </c>
      <c r="H193" s="399"/>
      <c r="I193" s="31"/>
      <c r="J193" s="31"/>
      <c r="K193" s="268"/>
      <c r="L193" s="268"/>
      <c r="M193" s="32"/>
      <c r="N193" s="470"/>
      <c r="O193" s="910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72"/>
      <c r="BC193" s="72"/>
      <c r="BD193" s="72"/>
      <c r="BE193" s="72"/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  <c r="BS193" s="72"/>
      <c r="BT193" s="72"/>
      <c r="BU193" s="72"/>
      <c r="BV193" s="72"/>
      <c r="BW193" s="72"/>
      <c r="BX193" s="72"/>
      <c r="BY193" s="72"/>
      <c r="BZ193" s="72"/>
      <c r="CA193" s="72"/>
      <c r="CB193" s="72"/>
      <c r="CC193" s="72"/>
      <c r="CD193" s="72"/>
      <c r="CE193" s="72"/>
      <c r="CF193" s="72"/>
      <c r="CG193" s="72"/>
      <c r="CH193" s="72"/>
      <c r="CI193" s="72"/>
      <c r="CJ193" s="72"/>
      <c r="CK193" s="72"/>
      <c r="CL193" s="72"/>
      <c r="CM193" s="72"/>
      <c r="CN193" s="72"/>
      <c r="CO193" s="72"/>
      <c r="CP193" s="72"/>
      <c r="CQ193" s="72"/>
      <c r="CR193" s="72"/>
      <c r="CS193" s="72"/>
      <c r="CT193" s="72"/>
      <c r="CU193" s="72"/>
      <c r="CV193" s="72"/>
      <c r="CW193" s="72"/>
      <c r="CX193" s="72"/>
      <c r="CY193" s="72"/>
      <c r="CZ193" s="72"/>
      <c r="DA193" s="72"/>
      <c r="DB193" s="72"/>
      <c r="DC193" s="72"/>
      <c r="DD193" s="72"/>
      <c r="DE193" s="72"/>
      <c r="DF193" s="72"/>
      <c r="DG193" s="72"/>
      <c r="DH193" s="72"/>
      <c r="DI193" s="72"/>
      <c r="DJ193" s="72"/>
      <c r="DK193" s="72"/>
      <c r="DL193" s="72"/>
      <c r="DM193" s="72"/>
      <c r="DN193" s="72"/>
      <c r="DO193" s="72"/>
      <c r="DP193" s="72"/>
      <c r="DQ193" s="72"/>
      <c r="DR193" s="72"/>
      <c r="DS193" s="72"/>
      <c r="DT193" s="72"/>
      <c r="DU193" s="72"/>
      <c r="DV193" s="72"/>
      <c r="DW193" s="72"/>
      <c r="DX193" s="72"/>
      <c r="DY193" s="72"/>
      <c r="DZ193" s="72"/>
      <c r="EA193" s="72"/>
      <c r="EB193" s="72"/>
      <c r="EC193" s="72"/>
      <c r="ED193" s="72"/>
      <c r="EE193" s="72"/>
      <c r="EF193" s="72"/>
      <c r="EG193" s="72"/>
      <c r="EH193" s="72"/>
      <c r="EI193" s="72"/>
      <c r="EJ193" s="72"/>
      <c r="EK193" s="72"/>
      <c r="EL193" s="72"/>
      <c r="EM193" s="72"/>
      <c r="EN193" s="72"/>
    </row>
    <row r="194" spans="1:144" s="23" customFormat="1" ht="18.75" hidden="1">
      <c r="A194" s="20"/>
      <c r="B194" s="30"/>
      <c r="C194" s="158" t="s">
        <v>100</v>
      </c>
      <c r="D194" s="30"/>
      <c r="E194" s="306" t="e">
        <f>E190+E180+E173+E172+E164+E163+E160+E159+E154+#REF!+#REF!+E152+E151+#REF!+#REF!+E144+E143+E142+E141+E139+E138+E137+E136+E135+E134+E133+E165+E147+E146</f>
        <v>#REF!</v>
      </c>
      <c r="F194" s="306" t="e">
        <f>F190+F180+F173+F172+F164+F163+F160+F159+F154+#REF!+#REF!+F152+F151+#REF!+#REF!+F144+F143+F142+F141+F139+F138+F137+F136+F135+F134+F133+F165+F147+F146</f>
        <v>#REF!</v>
      </c>
      <c r="G194" s="366" t="e">
        <f t="shared" si="13"/>
        <v>#REF!</v>
      </c>
      <c r="H194" s="399"/>
      <c r="I194" s="31"/>
      <c r="J194" s="31"/>
      <c r="K194" s="268"/>
      <c r="L194" s="268"/>
      <c r="M194" s="32"/>
      <c r="N194" s="470"/>
      <c r="O194" s="910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72"/>
      <c r="BC194" s="72"/>
      <c r="BD194" s="72"/>
      <c r="BE194" s="72"/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  <c r="BS194" s="72"/>
      <c r="BT194" s="72"/>
      <c r="BU194" s="72"/>
      <c r="BV194" s="72"/>
      <c r="BW194" s="72"/>
      <c r="BX194" s="72"/>
      <c r="BY194" s="72"/>
      <c r="BZ194" s="72"/>
      <c r="CA194" s="72"/>
      <c r="CB194" s="72"/>
      <c r="CC194" s="72"/>
      <c r="CD194" s="72"/>
      <c r="CE194" s="72"/>
      <c r="CF194" s="72"/>
      <c r="CG194" s="72"/>
      <c r="CH194" s="72"/>
      <c r="CI194" s="72"/>
      <c r="CJ194" s="72"/>
      <c r="CK194" s="72"/>
      <c r="CL194" s="72"/>
      <c r="CM194" s="72"/>
      <c r="CN194" s="72"/>
      <c r="CO194" s="72"/>
      <c r="CP194" s="72"/>
      <c r="CQ194" s="72"/>
      <c r="CR194" s="72"/>
      <c r="CS194" s="72"/>
      <c r="CT194" s="72"/>
      <c r="CU194" s="72"/>
      <c r="CV194" s="72"/>
      <c r="CW194" s="72"/>
      <c r="CX194" s="72"/>
      <c r="CY194" s="72"/>
      <c r="CZ194" s="72"/>
      <c r="DA194" s="72"/>
      <c r="DB194" s="72"/>
      <c r="DC194" s="72"/>
      <c r="DD194" s="72"/>
      <c r="DE194" s="72"/>
      <c r="DF194" s="72"/>
      <c r="DG194" s="72"/>
      <c r="DH194" s="72"/>
      <c r="DI194" s="72"/>
      <c r="DJ194" s="72"/>
      <c r="DK194" s="72"/>
      <c r="DL194" s="72"/>
      <c r="DM194" s="72"/>
      <c r="DN194" s="72"/>
      <c r="DO194" s="72"/>
      <c r="DP194" s="72"/>
      <c r="DQ194" s="72"/>
      <c r="DR194" s="72"/>
      <c r="DS194" s="72"/>
      <c r="DT194" s="72"/>
      <c r="DU194" s="72"/>
      <c r="DV194" s="72"/>
      <c r="DW194" s="72"/>
      <c r="DX194" s="72"/>
      <c r="DY194" s="72"/>
      <c r="DZ194" s="72"/>
      <c r="EA194" s="72"/>
      <c r="EB194" s="72"/>
      <c r="EC194" s="72"/>
      <c r="ED194" s="72"/>
      <c r="EE194" s="72"/>
      <c r="EF194" s="72"/>
      <c r="EG194" s="72"/>
      <c r="EH194" s="72"/>
      <c r="EI194" s="72"/>
      <c r="EJ194" s="72"/>
      <c r="EK194" s="72"/>
      <c r="EL194" s="72"/>
      <c r="EM194" s="72"/>
      <c r="EN194" s="72"/>
    </row>
    <row r="195" spans="1:144" s="23" customFormat="1" ht="18.75" hidden="1">
      <c r="A195" s="20"/>
      <c r="B195" s="30"/>
      <c r="C195" s="158" t="s">
        <v>138</v>
      </c>
      <c r="D195" s="30"/>
      <c r="E195" s="306" t="e">
        <f>#REF!+E131+#REF!+#REF!+#REF!</f>
        <v>#REF!</v>
      </c>
      <c r="F195" s="306" t="e">
        <f>#REF!+F131+#REF!+#REF!+#REF!</f>
        <v>#REF!</v>
      </c>
      <c r="G195" s="366" t="e">
        <f t="shared" si="13"/>
        <v>#REF!</v>
      </c>
      <c r="H195" s="399"/>
      <c r="I195" s="31"/>
      <c r="J195" s="31"/>
      <c r="K195" s="268"/>
      <c r="L195" s="268"/>
      <c r="M195" s="32"/>
      <c r="N195" s="470"/>
      <c r="O195" s="910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</row>
    <row r="196" spans="1:144" ht="44.25" hidden="1" customHeight="1">
      <c r="A196" s="7"/>
      <c r="B196" s="6" t="s">
        <v>139</v>
      </c>
      <c r="C196" s="841" t="s">
        <v>140</v>
      </c>
      <c r="D196" s="842"/>
      <c r="E196" s="842"/>
      <c r="F196" s="842"/>
      <c r="G196" s="842"/>
      <c r="H196" s="842"/>
      <c r="I196" s="842"/>
      <c r="J196" s="842"/>
      <c r="K196" s="842"/>
      <c r="L196" s="842"/>
      <c r="M196" s="842"/>
      <c r="N196" s="856"/>
      <c r="O196" s="910"/>
    </row>
    <row r="197" spans="1:144" ht="39.75" customHeight="1">
      <c r="A197" s="7"/>
      <c r="B197" s="109" t="s">
        <v>139</v>
      </c>
      <c r="C197" s="841" t="s">
        <v>389</v>
      </c>
      <c r="D197" s="842"/>
      <c r="E197" s="842"/>
      <c r="F197" s="842"/>
      <c r="G197" s="842"/>
      <c r="H197" s="842"/>
      <c r="I197" s="842"/>
      <c r="J197" s="842"/>
      <c r="K197" s="842"/>
      <c r="L197" s="842"/>
      <c r="M197" s="842"/>
      <c r="N197" s="856"/>
      <c r="O197" s="910"/>
    </row>
    <row r="198" spans="1:144" ht="31.5" customHeight="1">
      <c r="A198" s="7"/>
      <c r="B198" s="15"/>
      <c r="C198" s="785" t="s">
        <v>185</v>
      </c>
      <c r="D198" s="786"/>
      <c r="E198" s="786"/>
      <c r="F198" s="786"/>
      <c r="G198" s="786"/>
      <c r="H198" s="786"/>
      <c r="I198" s="786"/>
      <c r="J198" s="786"/>
      <c r="K198" s="786"/>
      <c r="L198" s="786"/>
      <c r="M198" s="786"/>
      <c r="N198" s="787"/>
      <c r="O198" s="910"/>
    </row>
    <row r="199" spans="1:144" ht="21" customHeight="1">
      <c r="A199" s="7"/>
      <c r="B199" s="43" t="s">
        <v>382</v>
      </c>
      <c r="C199" s="805" t="s">
        <v>191</v>
      </c>
      <c r="D199" s="806"/>
      <c r="E199" s="806"/>
      <c r="F199" s="806"/>
      <c r="G199" s="806"/>
      <c r="H199" s="806"/>
      <c r="I199" s="806"/>
      <c r="J199" s="806"/>
      <c r="K199" s="806"/>
      <c r="L199" s="806"/>
      <c r="M199" s="806"/>
      <c r="N199" s="807"/>
      <c r="O199" s="910"/>
    </row>
    <row r="200" spans="1:144" ht="26.25" customHeight="1">
      <c r="A200" s="7"/>
      <c r="B200" s="15"/>
      <c r="C200" s="785" t="s">
        <v>186</v>
      </c>
      <c r="D200" s="786"/>
      <c r="E200" s="786"/>
      <c r="F200" s="786"/>
      <c r="G200" s="786"/>
      <c r="H200" s="786"/>
      <c r="I200" s="786"/>
      <c r="J200" s="786"/>
      <c r="K200" s="786"/>
      <c r="L200" s="786"/>
      <c r="M200" s="786"/>
      <c r="N200" s="787"/>
      <c r="O200" s="910"/>
    </row>
    <row r="201" spans="1:144" ht="18" customHeight="1">
      <c r="A201" s="7"/>
      <c r="B201" s="15"/>
      <c r="C201" s="785" t="s">
        <v>187</v>
      </c>
      <c r="D201" s="786"/>
      <c r="E201" s="786"/>
      <c r="F201" s="786"/>
      <c r="G201" s="786"/>
      <c r="H201" s="786"/>
      <c r="I201" s="786"/>
      <c r="J201" s="786"/>
      <c r="K201" s="786"/>
      <c r="L201" s="786"/>
      <c r="M201" s="786"/>
      <c r="N201" s="787"/>
      <c r="O201" s="910"/>
    </row>
    <row r="202" spans="1:144" ht="18" customHeight="1">
      <c r="A202" s="7"/>
      <c r="B202" s="15"/>
      <c r="C202" s="785" t="s">
        <v>188</v>
      </c>
      <c r="D202" s="786"/>
      <c r="E202" s="786"/>
      <c r="F202" s="786"/>
      <c r="G202" s="786"/>
      <c r="H202" s="786"/>
      <c r="I202" s="786"/>
      <c r="J202" s="786"/>
      <c r="K202" s="786"/>
      <c r="L202" s="786"/>
      <c r="M202" s="786"/>
      <c r="N202" s="787"/>
      <c r="O202" s="910"/>
    </row>
    <row r="203" spans="1:144" ht="18" customHeight="1">
      <c r="A203" s="7"/>
      <c r="B203" s="15"/>
      <c r="C203" s="785" t="s">
        <v>189</v>
      </c>
      <c r="D203" s="786"/>
      <c r="E203" s="786"/>
      <c r="F203" s="786"/>
      <c r="G203" s="786"/>
      <c r="H203" s="786"/>
      <c r="I203" s="786"/>
      <c r="J203" s="786"/>
      <c r="K203" s="786"/>
      <c r="L203" s="786"/>
      <c r="M203" s="786"/>
      <c r="N203" s="787"/>
      <c r="O203" s="910"/>
    </row>
    <row r="204" spans="1:144" ht="18" customHeight="1">
      <c r="A204" s="7"/>
      <c r="B204" s="15"/>
      <c r="C204" s="785" t="s">
        <v>190</v>
      </c>
      <c r="D204" s="786"/>
      <c r="E204" s="786"/>
      <c r="F204" s="786"/>
      <c r="G204" s="786"/>
      <c r="H204" s="786"/>
      <c r="I204" s="786"/>
      <c r="J204" s="786"/>
      <c r="K204" s="786"/>
      <c r="L204" s="786"/>
      <c r="M204" s="786"/>
      <c r="N204" s="787"/>
      <c r="O204" s="910"/>
    </row>
    <row r="205" spans="1:144" s="14" customFormat="1" ht="47.25" customHeight="1">
      <c r="A205" s="9"/>
      <c r="B205" s="35" t="s">
        <v>383</v>
      </c>
      <c r="C205" s="367" t="s">
        <v>542</v>
      </c>
      <c r="D205" s="10">
        <v>30</v>
      </c>
      <c r="E205" s="680">
        <f>831000</f>
        <v>831000</v>
      </c>
      <c r="F205" s="680">
        <f>831000</f>
        <v>831000</v>
      </c>
      <c r="G205" s="366">
        <f>(F205/E205)*100</f>
        <v>100</v>
      </c>
      <c r="H205" s="399">
        <f>G205/100</f>
        <v>1</v>
      </c>
      <c r="I205" s="367" t="s">
        <v>662</v>
      </c>
      <c r="J205" s="12" t="s">
        <v>196</v>
      </c>
      <c r="K205" s="629">
        <v>9</v>
      </c>
      <c r="L205" s="681">
        <v>12</v>
      </c>
      <c r="M205" s="12">
        <f>L205/K205*100</f>
        <v>133.33333333333331</v>
      </c>
      <c r="N205" s="396">
        <f>M205/100</f>
        <v>1.333333333333333</v>
      </c>
      <c r="O205" s="910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  <c r="CW205" s="127"/>
      <c r="CX205" s="127"/>
      <c r="CY205" s="127"/>
      <c r="CZ205" s="127"/>
      <c r="DA205" s="127"/>
      <c r="DB205" s="127"/>
      <c r="DC205" s="127"/>
      <c r="DD205" s="127"/>
      <c r="DE205" s="127"/>
      <c r="DF205" s="127"/>
      <c r="DG205" s="127"/>
      <c r="DH205" s="127"/>
      <c r="DI205" s="127"/>
      <c r="DJ205" s="127"/>
      <c r="DK205" s="127"/>
      <c r="DL205" s="127"/>
      <c r="DM205" s="127"/>
      <c r="DN205" s="127"/>
      <c r="DO205" s="127"/>
      <c r="DP205" s="127"/>
      <c r="DQ205" s="127"/>
      <c r="DR205" s="127"/>
      <c r="DS205" s="127"/>
      <c r="DT205" s="127"/>
      <c r="DU205" s="127"/>
      <c r="DV205" s="127"/>
      <c r="DW205" s="127"/>
      <c r="DX205" s="127"/>
      <c r="DY205" s="127"/>
      <c r="DZ205" s="127"/>
      <c r="EA205" s="127"/>
      <c r="EB205" s="127"/>
      <c r="EC205" s="127"/>
      <c r="ED205" s="127"/>
      <c r="EE205" s="127"/>
      <c r="EF205" s="127"/>
      <c r="EG205" s="127"/>
      <c r="EH205" s="127"/>
      <c r="EI205" s="127"/>
      <c r="EJ205" s="127"/>
      <c r="EK205" s="127"/>
      <c r="EL205" s="127"/>
      <c r="EM205" s="127"/>
      <c r="EN205" s="127"/>
    </row>
    <row r="206" spans="1:144" s="14" customFormat="1" ht="45" customHeight="1">
      <c r="A206" s="9"/>
      <c r="B206" s="35"/>
      <c r="C206" s="367" t="s">
        <v>548</v>
      </c>
      <c r="D206" s="10"/>
      <c r="E206" s="298">
        <f>401700</f>
        <v>401700</v>
      </c>
      <c r="F206" s="298">
        <f>401700</f>
        <v>401700</v>
      </c>
      <c r="G206" s="678">
        <f>(F206/E206)*100</f>
        <v>100</v>
      </c>
      <c r="H206" s="399">
        <f>G206/100</f>
        <v>1</v>
      </c>
      <c r="I206" s="367" t="s">
        <v>663</v>
      </c>
      <c r="J206" s="12" t="s">
        <v>196</v>
      </c>
      <c r="K206" s="682">
        <v>35</v>
      </c>
      <c r="L206" s="682">
        <v>35</v>
      </c>
      <c r="M206" s="12">
        <f t="shared" ref="M206:M218" si="14">L206/K206*100</f>
        <v>100</v>
      </c>
      <c r="N206" s="598">
        <f t="shared" ref="N206:N219" si="15">M206/100</f>
        <v>1</v>
      </c>
      <c r="O206" s="910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  <c r="CW206" s="127"/>
      <c r="CX206" s="127"/>
      <c r="CY206" s="127"/>
      <c r="CZ206" s="127"/>
      <c r="DA206" s="127"/>
      <c r="DB206" s="127"/>
      <c r="DC206" s="127"/>
      <c r="DD206" s="127"/>
      <c r="DE206" s="127"/>
      <c r="DF206" s="127"/>
      <c r="DG206" s="127"/>
      <c r="DH206" s="127"/>
      <c r="DI206" s="127"/>
      <c r="DJ206" s="127"/>
      <c r="DK206" s="127"/>
      <c r="DL206" s="127"/>
      <c r="DM206" s="127"/>
      <c r="DN206" s="127"/>
      <c r="DO206" s="127"/>
      <c r="DP206" s="127"/>
      <c r="DQ206" s="127"/>
      <c r="DR206" s="127"/>
      <c r="DS206" s="127"/>
      <c r="DT206" s="127"/>
      <c r="DU206" s="127"/>
      <c r="DV206" s="127"/>
      <c r="DW206" s="127"/>
      <c r="DX206" s="127"/>
      <c r="DY206" s="127"/>
      <c r="DZ206" s="127"/>
      <c r="EA206" s="127"/>
      <c r="EB206" s="127"/>
      <c r="EC206" s="127"/>
      <c r="ED206" s="127"/>
      <c r="EE206" s="127"/>
      <c r="EF206" s="127"/>
      <c r="EG206" s="127"/>
      <c r="EH206" s="127"/>
      <c r="EI206" s="127"/>
      <c r="EJ206" s="127"/>
      <c r="EK206" s="127"/>
      <c r="EL206" s="127"/>
      <c r="EM206" s="127"/>
      <c r="EN206" s="127"/>
    </row>
    <row r="207" spans="1:144" s="14" customFormat="1" ht="36.75" customHeight="1">
      <c r="A207" s="9"/>
      <c r="B207" s="35" t="s">
        <v>385</v>
      </c>
      <c r="C207" s="214" t="s">
        <v>361</v>
      </c>
      <c r="D207" s="10" t="s">
        <v>391</v>
      </c>
      <c r="E207" s="680">
        <f>303000</f>
        <v>303000</v>
      </c>
      <c r="F207" s="680">
        <f>303000</f>
        <v>303000</v>
      </c>
      <c r="G207" s="397">
        <f>(F207/E207)*100</f>
        <v>100</v>
      </c>
      <c r="H207" s="399">
        <v>1</v>
      </c>
      <c r="I207" s="367" t="s">
        <v>664</v>
      </c>
      <c r="J207" s="12" t="s">
        <v>196</v>
      </c>
      <c r="K207" s="629">
        <v>173</v>
      </c>
      <c r="L207" s="629">
        <v>173</v>
      </c>
      <c r="M207" s="12">
        <f t="shared" si="14"/>
        <v>100</v>
      </c>
      <c r="N207" s="598">
        <f t="shared" si="15"/>
        <v>1</v>
      </c>
      <c r="O207" s="910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  <c r="CW207" s="127"/>
      <c r="CX207" s="127"/>
      <c r="CY207" s="127"/>
      <c r="CZ207" s="127"/>
      <c r="DA207" s="127"/>
      <c r="DB207" s="127"/>
      <c r="DC207" s="127"/>
      <c r="DD207" s="127"/>
      <c r="DE207" s="127"/>
      <c r="DF207" s="127"/>
      <c r="DG207" s="127"/>
      <c r="DH207" s="127"/>
      <c r="DI207" s="127"/>
      <c r="DJ207" s="127"/>
      <c r="DK207" s="127"/>
      <c r="DL207" s="127"/>
      <c r="DM207" s="127"/>
      <c r="DN207" s="127"/>
      <c r="DO207" s="127"/>
      <c r="DP207" s="127"/>
      <c r="DQ207" s="127"/>
      <c r="DR207" s="127"/>
      <c r="DS207" s="127"/>
      <c r="DT207" s="127"/>
      <c r="DU207" s="127"/>
      <c r="DV207" s="127"/>
      <c r="DW207" s="127"/>
      <c r="DX207" s="127"/>
      <c r="DY207" s="127"/>
      <c r="DZ207" s="127"/>
      <c r="EA207" s="127"/>
      <c r="EB207" s="127"/>
      <c r="EC207" s="127"/>
      <c r="ED207" s="127"/>
      <c r="EE207" s="127"/>
      <c r="EF207" s="127"/>
      <c r="EG207" s="127"/>
      <c r="EH207" s="127"/>
      <c r="EI207" s="127"/>
      <c r="EJ207" s="127"/>
      <c r="EK207" s="127"/>
      <c r="EL207" s="127"/>
      <c r="EM207" s="127"/>
      <c r="EN207" s="127"/>
    </row>
    <row r="208" spans="1:144" s="14" customFormat="1" ht="38.25" customHeight="1">
      <c r="A208" s="9"/>
      <c r="B208" s="89" t="s">
        <v>386</v>
      </c>
      <c r="C208" s="90" t="s">
        <v>330</v>
      </c>
      <c r="D208" s="172">
        <v>31</v>
      </c>
      <c r="E208" s="679">
        <f>3108600</f>
        <v>3108600</v>
      </c>
      <c r="F208" s="679">
        <f>3108600</f>
        <v>3108600</v>
      </c>
      <c r="G208" s="397">
        <f>(F208/E208)*100</f>
        <v>100</v>
      </c>
      <c r="H208" s="428">
        <v>1</v>
      </c>
      <c r="I208" s="90" t="s">
        <v>665</v>
      </c>
      <c r="J208" s="91" t="s">
        <v>196</v>
      </c>
      <c r="K208" s="683">
        <v>120</v>
      </c>
      <c r="L208" s="683">
        <v>120</v>
      </c>
      <c r="M208" s="12">
        <f t="shared" si="14"/>
        <v>100</v>
      </c>
      <c r="N208" s="598">
        <f t="shared" si="15"/>
        <v>1</v>
      </c>
      <c r="O208" s="910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  <c r="CW208" s="127"/>
      <c r="CX208" s="127"/>
      <c r="CY208" s="127"/>
      <c r="CZ208" s="127"/>
      <c r="DA208" s="127"/>
      <c r="DB208" s="127"/>
      <c r="DC208" s="127"/>
      <c r="DD208" s="127"/>
      <c r="DE208" s="127"/>
      <c r="DF208" s="127"/>
      <c r="DG208" s="127"/>
      <c r="DH208" s="127"/>
      <c r="DI208" s="127"/>
      <c r="DJ208" s="127"/>
      <c r="DK208" s="127"/>
      <c r="DL208" s="127"/>
      <c r="DM208" s="127"/>
      <c r="DN208" s="127"/>
      <c r="DO208" s="127"/>
      <c r="DP208" s="127"/>
      <c r="DQ208" s="127"/>
      <c r="DR208" s="127"/>
      <c r="DS208" s="127"/>
      <c r="DT208" s="127"/>
      <c r="DU208" s="127"/>
      <c r="DV208" s="127"/>
      <c r="DW208" s="127"/>
      <c r="DX208" s="127"/>
      <c r="DY208" s="127"/>
      <c r="DZ208" s="127"/>
      <c r="EA208" s="127"/>
      <c r="EB208" s="127"/>
      <c r="EC208" s="127"/>
      <c r="ED208" s="127"/>
      <c r="EE208" s="127"/>
      <c r="EF208" s="127"/>
      <c r="EG208" s="127"/>
      <c r="EH208" s="127"/>
      <c r="EI208" s="127"/>
      <c r="EJ208" s="127"/>
      <c r="EK208" s="127"/>
      <c r="EL208" s="127"/>
      <c r="EM208" s="127"/>
      <c r="EN208" s="127"/>
    </row>
    <row r="209" spans="1:145" s="14" customFormat="1" ht="44.25" customHeight="1">
      <c r="A209" s="9"/>
      <c r="B209" s="89" t="s">
        <v>387</v>
      </c>
      <c r="C209" s="90" t="s">
        <v>332</v>
      </c>
      <c r="D209" s="172" t="s">
        <v>331</v>
      </c>
      <c r="E209" s="680">
        <f>197000</f>
        <v>197000</v>
      </c>
      <c r="F209" s="680">
        <f>196996.43</f>
        <v>196996.43</v>
      </c>
      <c r="G209" s="397">
        <f>(F209/E209)*100</f>
        <v>99.998187817258881</v>
      </c>
      <c r="H209" s="428">
        <v>1</v>
      </c>
      <c r="I209" s="90" t="s">
        <v>666</v>
      </c>
      <c r="J209" s="91" t="s">
        <v>23</v>
      </c>
      <c r="K209" s="629">
        <v>235</v>
      </c>
      <c r="L209" s="629">
        <v>235</v>
      </c>
      <c r="M209" s="12">
        <f t="shared" si="14"/>
        <v>100</v>
      </c>
      <c r="N209" s="598">
        <f t="shared" si="15"/>
        <v>1</v>
      </c>
      <c r="O209" s="910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  <c r="CW209" s="127"/>
      <c r="CX209" s="127"/>
      <c r="CY209" s="127"/>
      <c r="CZ209" s="127"/>
      <c r="DA209" s="127"/>
      <c r="DB209" s="127"/>
      <c r="DC209" s="127"/>
      <c r="DD209" s="127"/>
      <c r="DE209" s="127"/>
      <c r="DF209" s="127"/>
      <c r="DG209" s="127"/>
      <c r="DH209" s="127"/>
      <c r="DI209" s="127"/>
      <c r="DJ209" s="127"/>
      <c r="DK209" s="127"/>
      <c r="DL209" s="127"/>
      <c r="DM209" s="127"/>
      <c r="DN209" s="127"/>
      <c r="DO209" s="127"/>
      <c r="DP209" s="127"/>
      <c r="DQ209" s="127"/>
      <c r="DR209" s="127"/>
      <c r="DS209" s="127"/>
      <c r="DT209" s="127"/>
      <c r="DU209" s="127"/>
      <c r="DV209" s="127"/>
      <c r="DW209" s="127"/>
      <c r="DX209" s="127"/>
      <c r="DY209" s="127"/>
      <c r="DZ209" s="127"/>
      <c r="EA209" s="127"/>
      <c r="EB209" s="127"/>
      <c r="EC209" s="127"/>
      <c r="ED209" s="127"/>
      <c r="EE209" s="127"/>
      <c r="EF209" s="127"/>
      <c r="EG209" s="127"/>
      <c r="EH209" s="127"/>
      <c r="EI209" s="127"/>
      <c r="EJ209" s="127"/>
      <c r="EK209" s="127"/>
      <c r="EL209" s="127"/>
      <c r="EM209" s="127"/>
      <c r="EN209" s="127"/>
    </row>
    <row r="210" spans="1:145" s="14" customFormat="1" ht="59.25" customHeight="1">
      <c r="A210" s="9"/>
      <c r="B210" s="89" t="s">
        <v>661</v>
      </c>
      <c r="C210" s="90"/>
      <c r="D210" s="172"/>
      <c r="E210" s="679"/>
      <c r="F210" s="679"/>
      <c r="G210" s="676"/>
      <c r="H210" s="428"/>
      <c r="I210" s="90" t="s">
        <v>667</v>
      </c>
      <c r="J210" s="91" t="s">
        <v>164</v>
      </c>
      <c r="K210" s="629">
        <v>80</v>
      </c>
      <c r="L210" s="629">
        <v>80</v>
      </c>
      <c r="M210" s="12">
        <f t="shared" si="14"/>
        <v>100</v>
      </c>
      <c r="N210" s="598">
        <f t="shared" si="15"/>
        <v>1</v>
      </c>
      <c r="O210" s="910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  <c r="CW210" s="127"/>
      <c r="CX210" s="127"/>
      <c r="CY210" s="127"/>
      <c r="CZ210" s="127"/>
      <c r="DA210" s="127"/>
      <c r="DB210" s="127"/>
      <c r="DC210" s="127"/>
      <c r="DD210" s="127"/>
      <c r="DE210" s="127"/>
      <c r="DF210" s="127"/>
      <c r="DG210" s="127"/>
      <c r="DH210" s="127"/>
      <c r="DI210" s="127"/>
      <c r="DJ210" s="127"/>
      <c r="DK210" s="127"/>
      <c r="DL210" s="127"/>
      <c r="DM210" s="127"/>
      <c r="DN210" s="127"/>
      <c r="DO210" s="127"/>
      <c r="DP210" s="127"/>
      <c r="DQ210" s="127"/>
      <c r="DR210" s="127"/>
      <c r="DS210" s="127"/>
      <c r="DT210" s="127"/>
      <c r="DU210" s="127"/>
      <c r="DV210" s="127"/>
      <c r="DW210" s="127"/>
      <c r="DX210" s="127"/>
      <c r="DY210" s="127"/>
      <c r="DZ210" s="127"/>
      <c r="EA210" s="127"/>
      <c r="EB210" s="127"/>
      <c r="EC210" s="127"/>
      <c r="ED210" s="127"/>
      <c r="EE210" s="127"/>
      <c r="EF210" s="127"/>
      <c r="EG210" s="127"/>
      <c r="EH210" s="127"/>
      <c r="EI210" s="127"/>
      <c r="EJ210" s="127"/>
      <c r="EK210" s="127"/>
      <c r="EL210" s="127"/>
      <c r="EM210" s="127"/>
      <c r="EN210" s="127"/>
    </row>
    <row r="211" spans="1:145" s="19" customFormat="1" ht="33" customHeight="1">
      <c r="A211" s="93"/>
      <c r="B211" s="35" t="s">
        <v>390</v>
      </c>
      <c r="C211" s="11"/>
      <c r="D211" s="10"/>
      <c r="E211" s="298"/>
      <c r="F211" s="298"/>
      <c r="G211" s="366"/>
      <c r="H211" s="399" t="s">
        <v>524</v>
      </c>
      <c r="I211" s="367" t="s">
        <v>668</v>
      </c>
      <c r="J211" s="12" t="s">
        <v>195</v>
      </c>
      <c r="K211" s="682">
        <v>6</v>
      </c>
      <c r="L211" s="682">
        <v>6</v>
      </c>
      <c r="M211" s="12">
        <f t="shared" si="14"/>
        <v>100</v>
      </c>
      <c r="N211" s="598">
        <f t="shared" si="15"/>
        <v>1</v>
      </c>
      <c r="O211" s="910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  <c r="CW211" s="127"/>
      <c r="CX211" s="127"/>
      <c r="CY211" s="127"/>
      <c r="CZ211" s="127"/>
      <c r="DA211" s="127"/>
      <c r="DB211" s="127"/>
      <c r="DC211" s="127"/>
      <c r="DD211" s="127"/>
      <c r="DE211" s="127"/>
      <c r="DF211" s="127"/>
      <c r="DG211" s="127"/>
      <c r="DH211" s="127"/>
      <c r="DI211" s="127"/>
      <c r="DJ211" s="127"/>
      <c r="DK211" s="127"/>
      <c r="DL211" s="127"/>
      <c r="DM211" s="127"/>
      <c r="DN211" s="127"/>
      <c r="DO211" s="127"/>
      <c r="DP211" s="127"/>
      <c r="DQ211" s="127"/>
      <c r="DR211" s="127"/>
      <c r="DS211" s="127"/>
      <c r="DT211" s="127"/>
      <c r="DU211" s="127"/>
      <c r="DV211" s="127"/>
      <c r="DW211" s="127"/>
      <c r="DX211" s="127"/>
      <c r="DY211" s="127"/>
      <c r="DZ211" s="127"/>
      <c r="EA211" s="127"/>
      <c r="EB211" s="127"/>
      <c r="EC211" s="127"/>
      <c r="ED211" s="127"/>
      <c r="EE211" s="127"/>
      <c r="EF211" s="127"/>
      <c r="EG211" s="127"/>
      <c r="EH211" s="127"/>
      <c r="EI211" s="127"/>
      <c r="EJ211" s="127"/>
      <c r="EK211" s="127"/>
      <c r="EL211" s="127"/>
      <c r="EM211" s="127"/>
      <c r="EN211" s="127"/>
      <c r="EO211" s="229"/>
    </row>
    <row r="212" spans="1:145" s="222" customFormat="1" ht="27" hidden="1" customHeight="1">
      <c r="B212" s="163"/>
      <c r="C212" s="899"/>
      <c r="D212" s="900"/>
      <c r="E212" s="900"/>
      <c r="F212" s="900"/>
      <c r="G212" s="900"/>
      <c r="H212" s="900"/>
      <c r="I212" s="90"/>
      <c r="J212" s="164"/>
      <c r="K212" s="270"/>
      <c r="L212" s="270"/>
      <c r="M212" s="12" t="e">
        <f t="shared" si="14"/>
        <v>#DIV/0!</v>
      </c>
      <c r="N212" s="598" t="e">
        <f t="shared" si="15"/>
        <v>#DIV/0!</v>
      </c>
      <c r="O212" s="910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  <c r="CW212" s="127"/>
      <c r="CX212" s="127"/>
      <c r="CY212" s="127"/>
      <c r="CZ212" s="127"/>
      <c r="DA212" s="127"/>
      <c r="DB212" s="127"/>
      <c r="DC212" s="127"/>
      <c r="DD212" s="127"/>
      <c r="DE212" s="127"/>
      <c r="DF212" s="127"/>
      <c r="DG212" s="127"/>
      <c r="DH212" s="127"/>
      <c r="DI212" s="127"/>
      <c r="DJ212" s="127"/>
      <c r="DK212" s="127"/>
      <c r="DL212" s="127"/>
      <c r="DM212" s="127"/>
      <c r="DN212" s="127"/>
      <c r="DO212" s="127"/>
      <c r="DP212" s="127"/>
      <c r="DQ212" s="127"/>
      <c r="DR212" s="127"/>
      <c r="DS212" s="127"/>
      <c r="DT212" s="127"/>
      <c r="DU212" s="127"/>
      <c r="DV212" s="127"/>
      <c r="DW212" s="127"/>
      <c r="DX212" s="127"/>
      <c r="DY212" s="127"/>
      <c r="DZ212" s="127"/>
      <c r="EA212" s="127"/>
      <c r="EB212" s="127"/>
      <c r="EC212" s="127"/>
      <c r="ED212" s="127"/>
      <c r="EE212" s="127"/>
      <c r="EF212" s="127"/>
      <c r="EG212" s="127"/>
      <c r="EH212" s="127"/>
      <c r="EI212" s="127"/>
      <c r="EJ212" s="127"/>
      <c r="EK212" s="127"/>
      <c r="EL212" s="127"/>
      <c r="EM212" s="127"/>
      <c r="EN212" s="127"/>
      <c r="EO212" s="230"/>
    </row>
    <row r="213" spans="1:145" s="19" customFormat="1" ht="51.75" customHeight="1">
      <c r="B213" s="10"/>
      <c r="C213" s="221"/>
      <c r="D213" s="407"/>
      <c r="E213" s="308"/>
      <c r="F213" s="308"/>
      <c r="G213" s="367"/>
      <c r="H213" s="219"/>
      <c r="I213" s="367" t="s">
        <v>669</v>
      </c>
      <c r="J213" s="12" t="s">
        <v>12</v>
      </c>
      <c r="K213" s="684">
        <v>130</v>
      </c>
      <c r="L213" s="684">
        <v>130</v>
      </c>
      <c r="M213" s="12">
        <f t="shared" si="14"/>
        <v>100</v>
      </c>
      <c r="N213" s="598">
        <f t="shared" si="15"/>
        <v>1</v>
      </c>
      <c r="O213" s="910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  <c r="CW213" s="127"/>
      <c r="CX213" s="127"/>
      <c r="CY213" s="127"/>
      <c r="CZ213" s="127"/>
      <c r="DA213" s="127"/>
      <c r="DB213" s="127"/>
      <c r="DC213" s="127"/>
      <c r="DD213" s="127"/>
      <c r="DE213" s="127"/>
      <c r="DF213" s="127"/>
      <c r="DG213" s="127"/>
      <c r="DH213" s="127"/>
      <c r="DI213" s="127"/>
      <c r="DJ213" s="127"/>
      <c r="DK213" s="127"/>
      <c r="DL213" s="127"/>
      <c r="DM213" s="127"/>
      <c r="DN213" s="127"/>
      <c r="DO213" s="127"/>
      <c r="DP213" s="127"/>
      <c r="DQ213" s="127"/>
      <c r="DR213" s="127"/>
      <c r="DS213" s="127"/>
      <c r="DT213" s="127"/>
      <c r="DU213" s="127"/>
      <c r="DV213" s="127"/>
      <c r="DW213" s="127"/>
      <c r="DX213" s="127"/>
      <c r="DY213" s="127"/>
      <c r="DZ213" s="127"/>
      <c r="EA213" s="127"/>
      <c r="EB213" s="127"/>
      <c r="EC213" s="127"/>
      <c r="ED213" s="127"/>
      <c r="EE213" s="127"/>
      <c r="EF213" s="127"/>
      <c r="EG213" s="127"/>
      <c r="EH213" s="127"/>
      <c r="EI213" s="127"/>
      <c r="EJ213" s="127"/>
      <c r="EK213" s="127"/>
      <c r="EL213" s="127"/>
      <c r="EM213" s="127"/>
      <c r="EN213" s="127"/>
      <c r="EO213" s="229"/>
    </row>
    <row r="214" spans="1:145" s="320" customFormat="1" ht="51.75" customHeight="1">
      <c r="B214" s="48"/>
      <c r="C214" s="321"/>
      <c r="D214" s="408"/>
      <c r="E214" s="322"/>
      <c r="F214" s="322"/>
      <c r="G214" s="49"/>
      <c r="H214" s="444"/>
      <c r="I214" s="49" t="s">
        <v>670</v>
      </c>
      <c r="J214" s="51" t="s">
        <v>12</v>
      </c>
      <c r="K214" s="685">
        <v>5</v>
      </c>
      <c r="L214" s="685">
        <v>5</v>
      </c>
      <c r="M214" s="12">
        <f t="shared" si="14"/>
        <v>100</v>
      </c>
      <c r="N214" s="598">
        <f t="shared" si="15"/>
        <v>1</v>
      </c>
      <c r="O214" s="910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/>
      <c r="CC214" s="127"/>
      <c r="CD214" s="127"/>
      <c r="CE214" s="127"/>
      <c r="CF214" s="127"/>
      <c r="CG214" s="127"/>
      <c r="CH214" s="127"/>
      <c r="CI214" s="127"/>
      <c r="CJ214" s="127"/>
      <c r="CK214" s="127"/>
      <c r="CL214" s="127"/>
      <c r="CM214" s="127"/>
      <c r="CN214" s="127"/>
      <c r="CO214" s="127"/>
      <c r="CP214" s="127"/>
      <c r="CQ214" s="127"/>
      <c r="CR214" s="127"/>
      <c r="CS214" s="127"/>
      <c r="CT214" s="127"/>
      <c r="CU214" s="127"/>
      <c r="CV214" s="127"/>
      <c r="CW214" s="127"/>
      <c r="CX214" s="127"/>
      <c r="CY214" s="127"/>
      <c r="CZ214" s="127"/>
      <c r="DA214" s="127"/>
      <c r="DB214" s="127"/>
      <c r="DC214" s="127"/>
      <c r="DD214" s="127"/>
      <c r="DE214" s="127"/>
      <c r="DF214" s="127"/>
      <c r="DG214" s="127"/>
      <c r="DH214" s="127"/>
      <c r="DI214" s="127"/>
      <c r="DJ214" s="127"/>
      <c r="DK214" s="127"/>
      <c r="DL214" s="127"/>
      <c r="DM214" s="127"/>
      <c r="DN214" s="127"/>
      <c r="DO214" s="127"/>
      <c r="DP214" s="127"/>
      <c r="DQ214" s="127"/>
      <c r="DR214" s="127"/>
      <c r="DS214" s="127"/>
      <c r="DT214" s="127"/>
      <c r="DU214" s="127"/>
      <c r="DV214" s="127"/>
      <c r="DW214" s="127"/>
      <c r="DX214" s="127"/>
      <c r="DY214" s="127"/>
      <c r="DZ214" s="127"/>
      <c r="EA214" s="127"/>
      <c r="EB214" s="127"/>
      <c r="EC214" s="127"/>
      <c r="ED214" s="127"/>
      <c r="EE214" s="127"/>
      <c r="EF214" s="127"/>
      <c r="EG214" s="127"/>
      <c r="EH214" s="127"/>
      <c r="EI214" s="127"/>
      <c r="EJ214" s="127"/>
      <c r="EK214" s="127"/>
      <c r="EL214" s="127"/>
      <c r="EM214" s="127"/>
      <c r="EN214" s="127"/>
      <c r="EO214" s="323"/>
    </row>
    <row r="215" spans="1:145" s="320" customFormat="1" ht="51.75" customHeight="1">
      <c r="B215" s="48"/>
      <c r="C215" s="321"/>
      <c r="D215" s="408"/>
      <c r="E215" s="322"/>
      <c r="F215" s="322"/>
      <c r="G215" s="49"/>
      <c r="H215" s="444"/>
      <c r="I215" s="49" t="s">
        <v>671</v>
      </c>
      <c r="J215" s="51" t="s">
        <v>196</v>
      </c>
      <c r="K215" s="685">
        <v>35</v>
      </c>
      <c r="L215" s="685">
        <v>35</v>
      </c>
      <c r="M215" s="12">
        <f t="shared" si="14"/>
        <v>100</v>
      </c>
      <c r="N215" s="598">
        <f t="shared" si="15"/>
        <v>1</v>
      </c>
      <c r="O215" s="910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7"/>
      <c r="CE215" s="127"/>
      <c r="CF215" s="127"/>
      <c r="CG215" s="127"/>
      <c r="CH215" s="127"/>
      <c r="CI215" s="127"/>
      <c r="CJ215" s="127"/>
      <c r="CK215" s="127"/>
      <c r="CL215" s="127"/>
      <c r="CM215" s="127"/>
      <c r="CN215" s="127"/>
      <c r="CO215" s="127"/>
      <c r="CP215" s="127"/>
      <c r="CQ215" s="127"/>
      <c r="CR215" s="127"/>
      <c r="CS215" s="127"/>
      <c r="CT215" s="127"/>
      <c r="CU215" s="127"/>
      <c r="CV215" s="127"/>
      <c r="CW215" s="127"/>
      <c r="CX215" s="127"/>
      <c r="CY215" s="127"/>
      <c r="CZ215" s="127"/>
      <c r="DA215" s="127"/>
      <c r="DB215" s="127"/>
      <c r="DC215" s="127"/>
      <c r="DD215" s="127"/>
      <c r="DE215" s="127"/>
      <c r="DF215" s="127"/>
      <c r="DG215" s="127"/>
      <c r="DH215" s="127"/>
      <c r="DI215" s="127"/>
      <c r="DJ215" s="127"/>
      <c r="DK215" s="127"/>
      <c r="DL215" s="127"/>
      <c r="DM215" s="127"/>
      <c r="DN215" s="127"/>
      <c r="DO215" s="127"/>
      <c r="DP215" s="127"/>
      <c r="DQ215" s="127"/>
      <c r="DR215" s="127"/>
      <c r="DS215" s="127"/>
      <c r="DT215" s="127"/>
      <c r="DU215" s="127"/>
      <c r="DV215" s="127"/>
      <c r="DW215" s="127"/>
      <c r="DX215" s="127"/>
      <c r="DY215" s="127"/>
      <c r="DZ215" s="127"/>
      <c r="EA215" s="127"/>
      <c r="EB215" s="127"/>
      <c r="EC215" s="127"/>
      <c r="ED215" s="127"/>
      <c r="EE215" s="127"/>
      <c r="EF215" s="127"/>
      <c r="EG215" s="127"/>
      <c r="EH215" s="127"/>
      <c r="EI215" s="127"/>
      <c r="EJ215" s="127"/>
      <c r="EK215" s="127"/>
      <c r="EL215" s="127"/>
      <c r="EM215" s="127"/>
      <c r="EN215" s="127"/>
      <c r="EO215" s="323"/>
    </row>
    <row r="216" spans="1:145" s="320" customFormat="1" ht="51.75" customHeight="1">
      <c r="B216" s="48"/>
      <c r="C216" s="321"/>
      <c r="D216" s="408"/>
      <c r="E216" s="322"/>
      <c r="F216" s="322"/>
      <c r="G216" s="49"/>
      <c r="H216" s="444"/>
      <c r="I216" s="49" t="s">
        <v>673</v>
      </c>
      <c r="J216" s="51" t="s">
        <v>12</v>
      </c>
      <c r="K216" s="629">
        <v>30</v>
      </c>
      <c r="L216" s="629">
        <v>0</v>
      </c>
      <c r="M216" s="12">
        <f t="shared" si="14"/>
        <v>0</v>
      </c>
      <c r="N216" s="598">
        <f t="shared" si="15"/>
        <v>0</v>
      </c>
      <c r="O216" s="910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  <c r="CW216" s="127"/>
      <c r="CX216" s="127"/>
      <c r="CY216" s="127"/>
      <c r="CZ216" s="127"/>
      <c r="DA216" s="127"/>
      <c r="DB216" s="127"/>
      <c r="DC216" s="127"/>
      <c r="DD216" s="127"/>
      <c r="DE216" s="127"/>
      <c r="DF216" s="127"/>
      <c r="DG216" s="127"/>
      <c r="DH216" s="127"/>
      <c r="DI216" s="127"/>
      <c r="DJ216" s="127"/>
      <c r="DK216" s="127"/>
      <c r="DL216" s="127"/>
      <c r="DM216" s="127"/>
      <c r="DN216" s="127"/>
      <c r="DO216" s="127"/>
      <c r="DP216" s="127"/>
      <c r="DQ216" s="127"/>
      <c r="DR216" s="127"/>
      <c r="DS216" s="127"/>
      <c r="DT216" s="127"/>
      <c r="DU216" s="127"/>
      <c r="DV216" s="127"/>
      <c r="DW216" s="127"/>
      <c r="DX216" s="127"/>
      <c r="DY216" s="127"/>
      <c r="DZ216" s="127"/>
      <c r="EA216" s="127"/>
      <c r="EB216" s="127"/>
      <c r="EC216" s="127"/>
      <c r="ED216" s="127"/>
      <c r="EE216" s="127"/>
      <c r="EF216" s="127"/>
      <c r="EG216" s="127"/>
      <c r="EH216" s="127"/>
      <c r="EI216" s="127"/>
      <c r="EJ216" s="127"/>
      <c r="EK216" s="127"/>
      <c r="EL216" s="127"/>
      <c r="EM216" s="127"/>
      <c r="EN216" s="127"/>
      <c r="EO216" s="323"/>
    </row>
    <row r="217" spans="1:145" s="320" customFormat="1" ht="51.75" customHeight="1">
      <c r="B217" s="48"/>
      <c r="C217" s="321"/>
      <c r="D217" s="408"/>
      <c r="E217" s="322"/>
      <c r="F217" s="322"/>
      <c r="G217" s="49"/>
      <c r="H217" s="444"/>
      <c r="I217" s="49" t="s">
        <v>674</v>
      </c>
      <c r="J217" s="51" t="s">
        <v>12</v>
      </c>
      <c r="K217" s="629">
        <v>68</v>
      </c>
      <c r="L217" s="629">
        <v>57</v>
      </c>
      <c r="M217" s="12">
        <f t="shared" si="14"/>
        <v>83.82352941176471</v>
      </c>
      <c r="N217" s="598">
        <f t="shared" si="15"/>
        <v>0.83823529411764708</v>
      </c>
      <c r="O217" s="910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  <c r="CW217" s="127"/>
      <c r="CX217" s="127"/>
      <c r="CY217" s="127"/>
      <c r="CZ217" s="127"/>
      <c r="DA217" s="127"/>
      <c r="DB217" s="127"/>
      <c r="DC217" s="127"/>
      <c r="DD217" s="127"/>
      <c r="DE217" s="127"/>
      <c r="DF217" s="127"/>
      <c r="DG217" s="127"/>
      <c r="DH217" s="127"/>
      <c r="DI217" s="127"/>
      <c r="DJ217" s="127"/>
      <c r="DK217" s="127"/>
      <c r="DL217" s="127"/>
      <c r="DM217" s="127"/>
      <c r="DN217" s="127"/>
      <c r="DO217" s="127"/>
      <c r="DP217" s="127"/>
      <c r="DQ217" s="127"/>
      <c r="DR217" s="127"/>
      <c r="DS217" s="127"/>
      <c r="DT217" s="127"/>
      <c r="DU217" s="127"/>
      <c r="DV217" s="127"/>
      <c r="DW217" s="127"/>
      <c r="DX217" s="127"/>
      <c r="DY217" s="127"/>
      <c r="DZ217" s="127"/>
      <c r="EA217" s="127"/>
      <c r="EB217" s="127"/>
      <c r="EC217" s="127"/>
      <c r="ED217" s="127"/>
      <c r="EE217" s="127"/>
      <c r="EF217" s="127"/>
      <c r="EG217" s="127"/>
      <c r="EH217" s="127"/>
      <c r="EI217" s="127"/>
      <c r="EJ217" s="127"/>
      <c r="EK217" s="127"/>
      <c r="EL217" s="127"/>
      <c r="EM217" s="127"/>
      <c r="EN217" s="127"/>
      <c r="EO217" s="323"/>
    </row>
    <row r="218" spans="1:145" s="320" customFormat="1" ht="51.75" customHeight="1">
      <c r="B218" s="48"/>
      <c r="C218" s="321"/>
      <c r="D218" s="408"/>
      <c r="E218" s="322"/>
      <c r="F218" s="322"/>
      <c r="G218" s="49"/>
      <c r="H218" s="444"/>
      <c r="I218" s="49" t="s">
        <v>672</v>
      </c>
      <c r="J218" s="51" t="s">
        <v>12</v>
      </c>
      <c r="K218" s="685">
        <v>90</v>
      </c>
      <c r="L218" s="685">
        <v>100</v>
      </c>
      <c r="M218" s="12">
        <f t="shared" si="14"/>
        <v>111.11111111111111</v>
      </c>
      <c r="N218" s="598">
        <f t="shared" si="15"/>
        <v>1.1111111111111112</v>
      </c>
      <c r="O218" s="910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  <c r="CW218" s="127"/>
      <c r="CX218" s="127"/>
      <c r="CY218" s="127"/>
      <c r="CZ218" s="127"/>
      <c r="DA218" s="127"/>
      <c r="DB218" s="127"/>
      <c r="DC218" s="127"/>
      <c r="DD218" s="127"/>
      <c r="DE218" s="127"/>
      <c r="DF218" s="127"/>
      <c r="DG218" s="127"/>
      <c r="DH218" s="127"/>
      <c r="DI218" s="127"/>
      <c r="DJ218" s="127"/>
      <c r="DK218" s="127"/>
      <c r="DL218" s="127"/>
      <c r="DM218" s="127"/>
      <c r="DN218" s="127"/>
      <c r="DO218" s="127"/>
      <c r="DP218" s="127"/>
      <c r="DQ218" s="127"/>
      <c r="DR218" s="127"/>
      <c r="DS218" s="127"/>
      <c r="DT218" s="127"/>
      <c r="DU218" s="127"/>
      <c r="DV218" s="127"/>
      <c r="DW218" s="127"/>
      <c r="DX218" s="127"/>
      <c r="DY218" s="127"/>
      <c r="DZ218" s="127"/>
      <c r="EA218" s="127"/>
      <c r="EB218" s="127"/>
      <c r="EC218" s="127"/>
      <c r="ED218" s="127"/>
      <c r="EE218" s="127"/>
      <c r="EF218" s="127"/>
      <c r="EG218" s="127"/>
      <c r="EH218" s="127"/>
      <c r="EI218" s="127"/>
      <c r="EJ218" s="127"/>
      <c r="EK218" s="127"/>
      <c r="EL218" s="127"/>
      <c r="EM218" s="127"/>
      <c r="EN218" s="127"/>
      <c r="EO218" s="323"/>
    </row>
    <row r="219" spans="1:145" s="223" customFormat="1" ht="27" customHeight="1">
      <c r="B219" s="199"/>
      <c r="C219" s="105" t="s">
        <v>197</v>
      </c>
      <c r="D219" s="509"/>
      <c r="E219" s="510">
        <f>E205+E206+E207+E208+E209+E210</f>
        <v>4841300</v>
      </c>
      <c r="F219" s="510">
        <f>F205+F206+F207+F208+F209+F210</f>
        <v>4841296.43</v>
      </c>
      <c r="G219" s="507">
        <f>F219/E219*100</f>
        <v>99.999926259475757</v>
      </c>
      <c r="H219" s="508">
        <v>1</v>
      </c>
      <c r="I219" s="200"/>
      <c r="J219" s="200"/>
      <c r="K219" s="271"/>
      <c r="L219" s="271"/>
      <c r="M219" s="507">
        <f>(M218+M217+M216+M215+M214+M213+M211+M210+M209+M208+M207+M206+M205)/13</f>
        <v>94.482151835092992</v>
      </c>
      <c r="N219" s="248">
        <f t="shared" si="15"/>
        <v>0.94482151835092987</v>
      </c>
      <c r="O219" s="910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  <c r="CW219" s="127"/>
      <c r="CX219" s="127"/>
      <c r="CY219" s="127"/>
      <c r="CZ219" s="127"/>
      <c r="DA219" s="127"/>
      <c r="DB219" s="127"/>
      <c r="DC219" s="127"/>
      <c r="DD219" s="127"/>
      <c r="DE219" s="127"/>
      <c r="DF219" s="127"/>
      <c r="DG219" s="127"/>
      <c r="DH219" s="127"/>
      <c r="DI219" s="127"/>
      <c r="DJ219" s="127"/>
      <c r="DK219" s="127"/>
      <c r="DL219" s="127"/>
      <c r="DM219" s="127"/>
      <c r="DN219" s="127"/>
      <c r="DO219" s="127"/>
      <c r="DP219" s="127"/>
      <c r="DQ219" s="127"/>
      <c r="DR219" s="127"/>
      <c r="DS219" s="127"/>
      <c r="DT219" s="127"/>
      <c r="DU219" s="127"/>
      <c r="DV219" s="127"/>
      <c r="DW219" s="127"/>
      <c r="DX219" s="127"/>
      <c r="DY219" s="127"/>
      <c r="DZ219" s="127"/>
      <c r="EA219" s="127"/>
      <c r="EB219" s="127"/>
      <c r="EC219" s="127"/>
      <c r="ED219" s="127"/>
      <c r="EE219" s="127"/>
      <c r="EF219" s="127"/>
      <c r="EG219" s="127"/>
      <c r="EH219" s="127"/>
      <c r="EI219" s="127"/>
      <c r="EJ219" s="127"/>
      <c r="EK219" s="127"/>
      <c r="EL219" s="127"/>
      <c r="EM219" s="127"/>
      <c r="EN219" s="127"/>
      <c r="EO219" s="231"/>
    </row>
    <row r="220" spans="1:145" s="244" customFormat="1" ht="27" customHeight="1">
      <c r="A220" s="244" t="s">
        <v>200</v>
      </c>
      <c r="B220" s="324" t="s">
        <v>392</v>
      </c>
      <c r="C220" s="805" t="s">
        <v>394</v>
      </c>
      <c r="D220" s="806"/>
      <c r="E220" s="806"/>
      <c r="F220" s="806"/>
      <c r="G220" s="806"/>
      <c r="H220" s="806"/>
      <c r="I220" s="806"/>
      <c r="J220" s="806"/>
      <c r="K220" s="806"/>
      <c r="L220" s="806"/>
      <c r="M220" s="806"/>
      <c r="N220" s="807"/>
      <c r="O220" s="288"/>
      <c r="P220" s="384"/>
      <c r="Q220" s="384"/>
      <c r="R220" s="384"/>
      <c r="S220" s="384"/>
      <c r="T220" s="384"/>
      <c r="U220" s="384"/>
      <c r="V220" s="384"/>
      <c r="W220" s="384"/>
      <c r="X220" s="384"/>
      <c r="Y220" s="384"/>
      <c r="Z220" s="384"/>
      <c r="AA220" s="384"/>
      <c r="AB220" s="361"/>
    </row>
    <row r="221" spans="1:145" s="40" customFormat="1" ht="36" customHeight="1">
      <c r="A221" s="39"/>
      <c r="B221" s="94"/>
      <c r="C221" s="785" t="s">
        <v>192</v>
      </c>
      <c r="D221" s="786"/>
      <c r="E221" s="786"/>
      <c r="F221" s="786"/>
      <c r="G221" s="786"/>
      <c r="H221" s="786"/>
      <c r="I221" s="786"/>
      <c r="J221" s="786"/>
      <c r="K221" s="786"/>
      <c r="L221" s="786"/>
      <c r="M221" s="786"/>
      <c r="N221" s="786"/>
      <c r="O221" s="787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  <c r="AA221" s="385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37"/>
      <c r="DW221" s="237"/>
      <c r="DX221" s="237"/>
      <c r="DY221" s="237"/>
      <c r="DZ221" s="237"/>
      <c r="EA221" s="237"/>
      <c r="EB221" s="237"/>
      <c r="EC221" s="237"/>
      <c r="ED221" s="237"/>
      <c r="EE221" s="237"/>
      <c r="EF221" s="237"/>
      <c r="EG221" s="237"/>
      <c r="EH221" s="237"/>
      <c r="EI221" s="237"/>
      <c r="EJ221" s="237"/>
      <c r="EK221" s="237"/>
      <c r="EL221" s="237"/>
      <c r="EM221" s="237"/>
      <c r="EN221" s="237"/>
    </row>
    <row r="222" spans="1:145" s="40" customFormat="1" ht="33" customHeight="1">
      <c r="A222" s="39"/>
      <c r="B222" s="15"/>
      <c r="C222" s="785" t="s">
        <v>193</v>
      </c>
      <c r="D222" s="786"/>
      <c r="E222" s="786"/>
      <c r="F222" s="786"/>
      <c r="G222" s="786"/>
      <c r="H222" s="786"/>
      <c r="I222" s="786"/>
      <c r="J222" s="786"/>
      <c r="K222" s="786"/>
      <c r="L222" s="786"/>
      <c r="M222" s="12"/>
      <c r="N222" s="461"/>
      <c r="O222" s="291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  <c r="AA222" s="385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37"/>
      <c r="DW222" s="237"/>
      <c r="DX222" s="237"/>
      <c r="DY222" s="237"/>
      <c r="DZ222" s="237"/>
      <c r="EA222" s="237"/>
      <c r="EB222" s="237"/>
      <c r="EC222" s="237"/>
      <c r="ED222" s="237"/>
      <c r="EE222" s="237"/>
      <c r="EF222" s="237"/>
      <c r="EG222" s="237"/>
      <c r="EH222" s="237"/>
      <c r="EI222" s="237"/>
      <c r="EJ222" s="237"/>
      <c r="EK222" s="237"/>
      <c r="EL222" s="237"/>
      <c r="EM222" s="237"/>
      <c r="EN222" s="237"/>
    </row>
    <row r="223" spans="1:145" s="40" customFormat="1" ht="38.25" customHeight="1">
      <c r="A223" s="39"/>
      <c r="B223" s="15"/>
      <c r="C223" s="808" t="s">
        <v>194</v>
      </c>
      <c r="D223" s="809"/>
      <c r="E223" s="809"/>
      <c r="F223" s="809"/>
      <c r="G223" s="809"/>
      <c r="H223" s="809"/>
      <c r="I223" s="809"/>
      <c r="J223" s="809"/>
      <c r="K223" s="809"/>
      <c r="L223" s="809"/>
      <c r="M223" s="809"/>
      <c r="N223" s="810"/>
      <c r="O223" s="291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  <c r="AA223" s="385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37"/>
      <c r="DW223" s="237"/>
      <c r="DX223" s="237"/>
      <c r="DY223" s="237"/>
      <c r="DZ223" s="237"/>
      <c r="EA223" s="237"/>
      <c r="EB223" s="237"/>
      <c r="EC223" s="237"/>
      <c r="ED223" s="237"/>
      <c r="EE223" s="237"/>
      <c r="EF223" s="237"/>
      <c r="EG223" s="237"/>
      <c r="EH223" s="237"/>
      <c r="EI223" s="237"/>
      <c r="EJ223" s="237"/>
      <c r="EK223" s="237"/>
      <c r="EL223" s="237"/>
      <c r="EM223" s="237"/>
      <c r="EN223" s="237"/>
    </row>
    <row r="224" spans="1:145" s="14" customFormat="1" ht="83.25" customHeight="1">
      <c r="A224" s="9"/>
      <c r="B224" s="89" t="s">
        <v>393</v>
      </c>
      <c r="C224" s="216" t="s">
        <v>660</v>
      </c>
      <c r="D224" s="172" t="s">
        <v>543</v>
      </c>
      <c r="E224" s="307">
        <v>1058832</v>
      </c>
      <c r="F224" s="307">
        <v>1058832</v>
      </c>
      <c r="G224" s="428">
        <f>F224/E224*100</f>
        <v>100</v>
      </c>
      <c r="H224" s="428">
        <f>G224/100</f>
        <v>1</v>
      </c>
      <c r="I224" s="216" t="s">
        <v>525</v>
      </c>
      <c r="J224" s="217" t="s">
        <v>23</v>
      </c>
      <c r="K224" s="269">
        <v>1</v>
      </c>
      <c r="L224" s="269">
        <v>1</v>
      </c>
      <c r="M224" s="91">
        <v>100</v>
      </c>
      <c r="N224" s="363">
        <v>1</v>
      </c>
      <c r="O224" s="288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  <c r="CW224" s="127"/>
      <c r="CX224" s="127"/>
      <c r="CY224" s="127"/>
      <c r="CZ224" s="127"/>
      <c r="DA224" s="127"/>
      <c r="DB224" s="127"/>
      <c r="DC224" s="127"/>
      <c r="DD224" s="127"/>
      <c r="DE224" s="127"/>
      <c r="DF224" s="127"/>
      <c r="DG224" s="127"/>
      <c r="DH224" s="127"/>
      <c r="DI224" s="127"/>
      <c r="DJ224" s="127"/>
      <c r="DK224" s="127"/>
      <c r="DL224" s="127"/>
      <c r="DM224" s="127"/>
      <c r="DN224" s="127"/>
      <c r="DO224" s="127"/>
      <c r="DP224" s="127"/>
      <c r="DQ224" s="127"/>
      <c r="DR224" s="127"/>
      <c r="DS224" s="127"/>
      <c r="DT224" s="127"/>
      <c r="DU224" s="127"/>
      <c r="DV224" s="127"/>
      <c r="DW224" s="127"/>
      <c r="DX224" s="127"/>
      <c r="DY224" s="127"/>
      <c r="DZ224" s="127"/>
      <c r="EA224" s="127"/>
      <c r="EB224" s="127"/>
      <c r="EC224" s="127"/>
      <c r="ED224" s="127"/>
      <c r="EE224" s="127"/>
      <c r="EF224" s="127"/>
      <c r="EG224" s="127"/>
      <c r="EH224" s="127"/>
      <c r="EI224" s="127"/>
      <c r="EJ224" s="127"/>
      <c r="EK224" s="127"/>
      <c r="EL224" s="127"/>
      <c r="EM224" s="127"/>
      <c r="EN224" s="127"/>
    </row>
    <row r="225" spans="1:144" s="74" customFormat="1" ht="25.5" customHeight="1">
      <c r="B225" s="199"/>
      <c r="C225" s="218" t="s">
        <v>184</v>
      </c>
      <c r="D225" s="199"/>
      <c r="E225" s="309">
        <f>E224</f>
        <v>1058832</v>
      </c>
      <c r="F225" s="309">
        <f>F224</f>
        <v>1058832</v>
      </c>
      <c r="G225" s="519">
        <f>F225/E225*100</f>
        <v>100</v>
      </c>
      <c r="H225" s="519">
        <f>G225/100</f>
        <v>1</v>
      </c>
      <c r="I225" s="896"/>
      <c r="J225" s="897"/>
      <c r="K225" s="897"/>
      <c r="L225" s="898"/>
      <c r="M225" s="507">
        <v>100</v>
      </c>
      <c r="N225" s="249">
        <v>1</v>
      </c>
      <c r="O225" s="288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  <c r="CW225" s="127"/>
      <c r="CX225" s="127"/>
      <c r="CY225" s="127"/>
      <c r="CZ225" s="127"/>
      <c r="DA225" s="127"/>
      <c r="DB225" s="127"/>
      <c r="DC225" s="127"/>
      <c r="DD225" s="127"/>
      <c r="DE225" s="127"/>
      <c r="DF225" s="127"/>
      <c r="DG225" s="127"/>
      <c r="DH225" s="127"/>
      <c r="DI225" s="127"/>
      <c r="DJ225" s="127"/>
      <c r="DK225" s="127"/>
      <c r="DL225" s="127"/>
      <c r="DM225" s="127"/>
      <c r="DN225" s="127"/>
      <c r="DO225" s="127"/>
      <c r="DP225" s="127"/>
      <c r="DQ225" s="127"/>
      <c r="DR225" s="127"/>
      <c r="DS225" s="127"/>
      <c r="DT225" s="127"/>
      <c r="DU225" s="127"/>
      <c r="DV225" s="127"/>
      <c r="DW225" s="127"/>
      <c r="DX225" s="127"/>
      <c r="DY225" s="127"/>
      <c r="DZ225" s="127"/>
      <c r="EA225" s="127"/>
      <c r="EB225" s="127"/>
      <c r="EC225" s="127"/>
      <c r="ED225" s="127"/>
      <c r="EE225" s="127"/>
      <c r="EF225" s="127"/>
      <c r="EG225" s="127"/>
      <c r="EH225" s="127"/>
      <c r="EI225" s="127"/>
      <c r="EJ225" s="127"/>
      <c r="EK225" s="127"/>
      <c r="EL225" s="127"/>
      <c r="EM225" s="127"/>
      <c r="EN225" s="127"/>
    </row>
    <row r="226" spans="1:144" s="14" customFormat="1" ht="53.25" hidden="1" customHeight="1">
      <c r="A226" s="9"/>
      <c r="B226" s="10"/>
      <c r="C226" s="219"/>
      <c r="D226" s="10"/>
      <c r="E226" s="298"/>
      <c r="F226" s="298"/>
      <c r="G226" s="399"/>
      <c r="H226" s="399"/>
      <c r="I226" s="219"/>
      <c r="J226" s="215" t="s">
        <v>142</v>
      </c>
      <c r="K226" s="257">
        <v>8</v>
      </c>
      <c r="L226" s="257">
        <v>8</v>
      </c>
      <c r="M226" s="12">
        <f>L226/K226</f>
        <v>1</v>
      </c>
      <c r="N226" s="396"/>
      <c r="O226" s="288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  <c r="CW226" s="127"/>
      <c r="CX226" s="127"/>
      <c r="CY226" s="127"/>
      <c r="CZ226" s="127"/>
      <c r="DA226" s="127"/>
      <c r="DB226" s="127"/>
      <c r="DC226" s="127"/>
      <c r="DD226" s="127"/>
      <c r="DE226" s="127"/>
      <c r="DF226" s="127"/>
      <c r="DG226" s="127"/>
      <c r="DH226" s="127"/>
      <c r="DI226" s="127"/>
      <c r="DJ226" s="127"/>
      <c r="DK226" s="127"/>
      <c r="DL226" s="127"/>
      <c r="DM226" s="127"/>
      <c r="DN226" s="127"/>
      <c r="DO226" s="127"/>
      <c r="DP226" s="127"/>
      <c r="DQ226" s="127"/>
      <c r="DR226" s="127"/>
      <c r="DS226" s="127"/>
      <c r="DT226" s="127"/>
      <c r="DU226" s="127"/>
      <c r="DV226" s="127"/>
      <c r="DW226" s="127"/>
      <c r="DX226" s="127"/>
      <c r="DY226" s="127"/>
      <c r="DZ226" s="127"/>
      <c r="EA226" s="127"/>
      <c r="EB226" s="127"/>
      <c r="EC226" s="127"/>
      <c r="ED226" s="127"/>
      <c r="EE226" s="127"/>
      <c r="EF226" s="127"/>
      <c r="EG226" s="127"/>
      <c r="EH226" s="127"/>
      <c r="EI226" s="127"/>
      <c r="EJ226" s="127"/>
      <c r="EK226" s="127"/>
      <c r="EL226" s="127"/>
      <c r="EM226" s="127"/>
      <c r="EN226" s="127"/>
    </row>
    <row r="227" spans="1:144" s="14" customFormat="1" ht="12.75" hidden="1">
      <c r="A227" s="9"/>
      <c r="B227" s="10"/>
      <c r="C227" s="219"/>
      <c r="D227" s="10"/>
      <c r="E227" s="298"/>
      <c r="F227" s="298"/>
      <c r="G227" s="399"/>
      <c r="H227" s="399"/>
      <c r="I227" s="219"/>
      <c r="J227" s="215"/>
      <c r="K227" s="257"/>
      <c r="L227" s="257"/>
      <c r="M227" s="12"/>
      <c r="N227" s="396"/>
      <c r="O227" s="288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  <c r="CW227" s="127"/>
      <c r="CX227" s="127"/>
      <c r="CY227" s="127"/>
      <c r="CZ227" s="127"/>
      <c r="DA227" s="127"/>
      <c r="DB227" s="127"/>
      <c r="DC227" s="127"/>
      <c r="DD227" s="127"/>
      <c r="DE227" s="127"/>
      <c r="DF227" s="127"/>
      <c r="DG227" s="127"/>
      <c r="DH227" s="127"/>
      <c r="DI227" s="127"/>
      <c r="DJ227" s="127"/>
      <c r="DK227" s="127"/>
      <c r="DL227" s="127"/>
      <c r="DM227" s="127"/>
      <c r="DN227" s="127"/>
      <c r="DO227" s="127"/>
      <c r="DP227" s="127"/>
      <c r="DQ227" s="127"/>
      <c r="DR227" s="127"/>
      <c r="DS227" s="127"/>
      <c r="DT227" s="127"/>
      <c r="DU227" s="127"/>
      <c r="DV227" s="127"/>
      <c r="DW227" s="127"/>
      <c r="DX227" s="127"/>
      <c r="DY227" s="127"/>
      <c r="DZ227" s="127"/>
      <c r="EA227" s="127"/>
      <c r="EB227" s="127"/>
      <c r="EC227" s="127"/>
      <c r="ED227" s="127"/>
      <c r="EE227" s="127"/>
      <c r="EF227" s="127"/>
      <c r="EG227" s="127"/>
      <c r="EH227" s="127"/>
      <c r="EI227" s="127"/>
      <c r="EJ227" s="127"/>
      <c r="EK227" s="127"/>
      <c r="EL227" s="127"/>
      <c r="EM227" s="127"/>
      <c r="EN227" s="127"/>
    </row>
    <row r="228" spans="1:144" s="14" customFormat="1" ht="12.75" hidden="1">
      <c r="A228" s="9"/>
      <c r="B228" s="35"/>
      <c r="C228" s="219"/>
      <c r="D228" s="10"/>
      <c r="E228" s="298"/>
      <c r="F228" s="298"/>
      <c r="G228" s="399"/>
      <c r="H228" s="399"/>
      <c r="I228" s="220"/>
      <c r="J228" s="220"/>
      <c r="K228" s="259"/>
      <c r="L228" s="259"/>
      <c r="M228" s="12"/>
      <c r="N228" s="396"/>
      <c r="O228" s="288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  <c r="CW228" s="127"/>
      <c r="CX228" s="127"/>
      <c r="CY228" s="127"/>
      <c r="CZ228" s="127"/>
      <c r="DA228" s="127"/>
      <c r="DB228" s="127"/>
      <c r="DC228" s="127"/>
      <c r="DD228" s="127"/>
      <c r="DE228" s="127"/>
      <c r="DF228" s="127"/>
      <c r="DG228" s="127"/>
      <c r="DH228" s="127"/>
      <c r="DI228" s="127"/>
      <c r="DJ228" s="127"/>
      <c r="DK228" s="127"/>
      <c r="DL228" s="127"/>
      <c r="DM228" s="127"/>
      <c r="DN228" s="127"/>
      <c r="DO228" s="127"/>
      <c r="DP228" s="127"/>
      <c r="DQ228" s="127"/>
      <c r="DR228" s="127"/>
      <c r="DS228" s="127"/>
      <c r="DT228" s="127"/>
      <c r="DU228" s="127"/>
      <c r="DV228" s="127"/>
      <c r="DW228" s="127"/>
      <c r="DX228" s="127"/>
      <c r="DY228" s="127"/>
      <c r="DZ228" s="127"/>
      <c r="EA228" s="127"/>
      <c r="EB228" s="127"/>
      <c r="EC228" s="127"/>
      <c r="ED228" s="127"/>
      <c r="EE228" s="127"/>
      <c r="EF228" s="127"/>
      <c r="EG228" s="127"/>
      <c r="EH228" s="127"/>
      <c r="EI228" s="127"/>
      <c r="EJ228" s="127"/>
      <c r="EK228" s="127"/>
      <c r="EL228" s="127"/>
      <c r="EM228" s="127"/>
      <c r="EN228" s="127"/>
    </row>
    <row r="229" spans="1:144" s="40" customFormat="1" hidden="1">
      <c r="A229" s="39"/>
      <c r="B229" s="15"/>
      <c r="C229" s="895"/>
      <c r="D229" s="895"/>
      <c r="E229" s="895"/>
      <c r="F229" s="895"/>
      <c r="G229" s="895"/>
      <c r="H229" s="895"/>
      <c r="I229" s="895"/>
      <c r="J229" s="895"/>
      <c r="K229" s="895"/>
      <c r="L229" s="895"/>
      <c r="M229" s="12"/>
      <c r="N229" s="461"/>
      <c r="O229" s="291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  <c r="AA229" s="385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37"/>
      <c r="DW229" s="237"/>
      <c r="DX229" s="237"/>
      <c r="DY229" s="237"/>
      <c r="DZ229" s="237"/>
      <c r="EA229" s="237"/>
      <c r="EB229" s="237"/>
      <c r="EC229" s="237"/>
      <c r="ED229" s="237"/>
      <c r="EE229" s="237"/>
      <c r="EF229" s="237"/>
      <c r="EG229" s="237"/>
      <c r="EH229" s="237"/>
      <c r="EI229" s="237"/>
      <c r="EJ229" s="237"/>
      <c r="EK229" s="237"/>
      <c r="EL229" s="237"/>
      <c r="EM229" s="237"/>
      <c r="EN229" s="237"/>
    </row>
    <row r="230" spans="1:144" s="40" customFormat="1" hidden="1">
      <c r="A230" s="39"/>
      <c r="B230" s="15"/>
      <c r="C230" s="895"/>
      <c r="D230" s="895"/>
      <c r="E230" s="895"/>
      <c r="F230" s="895"/>
      <c r="G230" s="895"/>
      <c r="H230" s="895"/>
      <c r="I230" s="895"/>
      <c r="J230" s="895"/>
      <c r="K230" s="895"/>
      <c r="L230" s="895"/>
      <c r="M230" s="12"/>
      <c r="N230" s="461"/>
      <c r="O230" s="291"/>
      <c r="P230" s="385"/>
      <c r="Q230" s="385"/>
      <c r="R230" s="385"/>
      <c r="S230" s="385"/>
      <c r="T230" s="385"/>
      <c r="U230" s="385"/>
      <c r="V230" s="385"/>
      <c r="W230" s="385"/>
      <c r="X230" s="385"/>
      <c r="Y230" s="385"/>
      <c r="Z230" s="385"/>
      <c r="AA230" s="385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37"/>
      <c r="DW230" s="237"/>
      <c r="DX230" s="237"/>
      <c r="DY230" s="237"/>
      <c r="DZ230" s="237"/>
      <c r="EA230" s="237"/>
      <c r="EB230" s="237"/>
      <c r="EC230" s="237"/>
      <c r="ED230" s="237"/>
      <c r="EE230" s="237"/>
      <c r="EF230" s="237"/>
      <c r="EG230" s="237"/>
      <c r="EH230" s="237"/>
      <c r="EI230" s="237"/>
      <c r="EJ230" s="237"/>
      <c r="EK230" s="237"/>
      <c r="EL230" s="237"/>
      <c r="EM230" s="237"/>
      <c r="EN230" s="237"/>
    </row>
    <row r="231" spans="1:144" s="561" customFormat="1" ht="35.25" customHeight="1">
      <c r="A231" s="138"/>
      <c r="B231" s="554"/>
      <c r="C231" s="555" t="s">
        <v>198</v>
      </c>
      <c r="D231" s="556"/>
      <c r="E231" s="557">
        <f>E225+E219</f>
        <v>5900132</v>
      </c>
      <c r="F231" s="557">
        <f>F225+F219</f>
        <v>5900128.4299999997</v>
      </c>
      <c r="G231" s="558">
        <f>F231/E231*100</f>
        <v>99.999939492879136</v>
      </c>
      <c r="H231" s="559">
        <v>1</v>
      </c>
      <c r="I231" s="884" t="s">
        <v>199</v>
      </c>
      <c r="J231" s="885"/>
      <c r="K231" s="885"/>
      <c r="L231" s="886"/>
      <c r="M231" s="560">
        <f>(M225+M219)/2</f>
        <v>97.241075917546496</v>
      </c>
      <c r="N231" s="686">
        <f>M231/100</f>
        <v>0.97241075917546493</v>
      </c>
      <c r="O231" s="491"/>
      <c r="P231" s="388"/>
      <c r="Q231" s="388"/>
      <c r="R231" s="388"/>
      <c r="S231" s="388"/>
      <c r="T231" s="388"/>
      <c r="U231" s="388"/>
      <c r="V231" s="388"/>
      <c r="W231" s="388"/>
      <c r="X231" s="388"/>
      <c r="Y231" s="388"/>
      <c r="Z231" s="388"/>
      <c r="AA231" s="388"/>
      <c r="AB231" s="238"/>
      <c r="AC231" s="238"/>
      <c r="AD231" s="238"/>
      <c r="AE231" s="238"/>
      <c r="AF231" s="238"/>
      <c r="AG231" s="238"/>
      <c r="AH231" s="238"/>
      <c r="AI231" s="238"/>
      <c r="AJ231" s="238"/>
      <c r="AK231" s="238"/>
      <c r="AL231" s="238"/>
      <c r="AM231" s="238"/>
      <c r="AN231" s="238"/>
      <c r="AO231" s="238"/>
      <c r="AP231" s="238"/>
      <c r="AQ231" s="238"/>
      <c r="AR231" s="238"/>
      <c r="AS231" s="238"/>
      <c r="AT231" s="238"/>
      <c r="AU231" s="238"/>
      <c r="AV231" s="238"/>
      <c r="AW231" s="238"/>
      <c r="AX231" s="238"/>
      <c r="AY231" s="238"/>
      <c r="AZ231" s="238"/>
      <c r="BA231" s="238"/>
      <c r="BB231" s="238"/>
      <c r="BC231" s="238"/>
      <c r="BD231" s="238"/>
      <c r="BE231" s="238"/>
      <c r="BF231" s="238"/>
      <c r="BG231" s="238"/>
      <c r="BH231" s="238"/>
      <c r="BI231" s="238"/>
      <c r="BJ231" s="238"/>
      <c r="BK231" s="238"/>
      <c r="BL231" s="238"/>
      <c r="BM231" s="238"/>
      <c r="BN231" s="238"/>
      <c r="BO231" s="238"/>
      <c r="BP231" s="238"/>
      <c r="BQ231" s="238"/>
      <c r="BR231" s="238"/>
      <c r="BS231" s="238"/>
      <c r="BT231" s="238"/>
      <c r="BU231" s="238"/>
      <c r="BV231" s="238"/>
      <c r="BW231" s="238"/>
      <c r="BX231" s="238"/>
      <c r="BY231" s="238"/>
      <c r="BZ231" s="238"/>
      <c r="CA231" s="238"/>
      <c r="CB231" s="238"/>
      <c r="CC231" s="238"/>
      <c r="CD231" s="238"/>
      <c r="CE231" s="238"/>
      <c r="CF231" s="238"/>
      <c r="CG231" s="238"/>
      <c r="CH231" s="238"/>
      <c r="CI231" s="238"/>
      <c r="CJ231" s="238"/>
      <c r="CK231" s="238"/>
      <c r="CL231" s="238"/>
      <c r="CM231" s="238"/>
      <c r="CN231" s="238"/>
      <c r="CO231" s="238"/>
      <c r="CP231" s="238"/>
      <c r="CQ231" s="238"/>
      <c r="CR231" s="238"/>
      <c r="CS231" s="238"/>
      <c r="CT231" s="238"/>
      <c r="CU231" s="238"/>
      <c r="CV231" s="238"/>
      <c r="CW231" s="238"/>
      <c r="CX231" s="238"/>
      <c r="CY231" s="238"/>
      <c r="CZ231" s="238"/>
      <c r="DA231" s="238"/>
      <c r="DB231" s="238"/>
      <c r="DC231" s="238"/>
      <c r="DD231" s="238"/>
      <c r="DE231" s="238"/>
      <c r="DF231" s="238"/>
      <c r="DG231" s="238"/>
      <c r="DH231" s="238"/>
      <c r="DI231" s="238"/>
      <c r="DJ231" s="238"/>
      <c r="DK231" s="238"/>
      <c r="DL231" s="238"/>
      <c r="DM231" s="238"/>
      <c r="DN231" s="238"/>
      <c r="DO231" s="238"/>
      <c r="DP231" s="238"/>
      <c r="DQ231" s="238"/>
      <c r="DR231" s="238"/>
      <c r="DS231" s="238"/>
      <c r="DT231" s="238"/>
      <c r="DU231" s="238"/>
      <c r="DV231" s="238"/>
      <c r="DW231" s="238"/>
      <c r="DX231" s="238"/>
      <c r="DY231" s="238"/>
      <c r="DZ231" s="238"/>
      <c r="EA231" s="238"/>
      <c r="EB231" s="238"/>
      <c r="EC231" s="238"/>
      <c r="ED231" s="238"/>
      <c r="EE231" s="238"/>
      <c r="EF231" s="238"/>
      <c r="EG231" s="238"/>
      <c r="EH231" s="238"/>
      <c r="EI231" s="238"/>
      <c r="EJ231" s="238"/>
      <c r="EK231" s="238"/>
      <c r="EL231" s="238"/>
      <c r="EM231" s="238"/>
      <c r="EN231" s="238"/>
    </row>
    <row r="232" spans="1:144" s="187" customFormat="1" ht="21.75" customHeight="1">
      <c r="B232" s="133"/>
      <c r="C232" s="162" t="s">
        <v>516</v>
      </c>
      <c r="D232" s="500" t="s">
        <v>544</v>
      </c>
      <c r="E232" s="679">
        <f>117700.82</f>
        <v>117700.82</v>
      </c>
      <c r="F232" s="679">
        <f>117700.82</f>
        <v>117700.82</v>
      </c>
      <c r="G232" s="502"/>
      <c r="H232" s="501"/>
      <c r="I232" s="394"/>
      <c r="J232" s="395"/>
      <c r="K232" s="395"/>
      <c r="L232" s="395"/>
      <c r="M232" s="60"/>
      <c r="N232" s="513"/>
      <c r="O232" s="515"/>
      <c r="P232" s="383"/>
      <c r="Q232" s="383"/>
      <c r="R232" s="383"/>
      <c r="S232" s="383"/>
      <c r="T232" s="383"/>
      <c r="U232" s="383"/>
      <c r="V232" s="383"/>
      <c r="W232" s="383"/>
      <c r="X232" s="383"/>
      <c r="Y232" s="383"/>
      <c r="Z232" s="383"/>
      <c r="AA232" s="383"/>
      <c r="AB232" s="188"/>
      <c r="AC232" s="188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188"/>
      <c r="BM232" s="188"/>
      <c r="BN232" s="188"/>
      <c r="BO232" s="188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188"/>
      <c r="CA232" s="188"/>
      <c r="CB232" s="188"/>
      <c r="CC232" s="188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8"/>
      <c r="CO232" s="188"/>
      <c r="CP232" s="188"/>
      <c r="CQ232" s="188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188"/>
      <c r="DC232" s="188"/>
      <c r="DD232" s="188"/>
      <c r="DE232" s="188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188"/>
      <c r="DQ232" s="188"/>
      <c r="DR232" s="188"/>
      <c r="DS232" s="188"/>
      <c r="DT232" s="188"/>
      <c r="DU232" s="188"/>
      <c r="DV232" s="188"/>
      <c r="DW232" s="188"/>
      <c r="DX232" s="188"/>
      <c r="DY232" s="188"/>
      <c r="DZ232" s="188"/>
      <c r="EA232" s="188"/>
      <c r="EB232" s="188"/>
      <c r="EC232" s="188"/>
      <c r="ED232" s="188"/>
      <c r="EE232" s="188"/>
      <c r="EF232" s="188"/>
      <c r="EG232" s="188"/>
      <c r="EH232" s="188"/>
      <c r="EI232" s="188"/>
      <c r="EJ232" s="188"/>
      <c r="EK232" s="188"/>
      <c r="EL232" s="188"/>
      <c r="EM232" s="188"/>
      <c r="EN232" s="188"/>
    </row>
    <row r="233" spans="1:144" s="187" customFormat="1" ht="20.25" customHeight="1">
      <c r="B233" s="133"/>
      <c r="C233" s="162" t="s">
        <v>517</v>
      </c>
      <c r="D233" s="500" t="s">
        <v>329</v>
      </c>
      <c r="E233" s="679">
        <f>1813854.86</f>
        <v>1813854.86</v>
      </c>
      <c r="F233" s="679">
        <f>1813854.86</f>
        <v>1813854.86</v>
      </c>
      <c r="G233" s="502"/>
      <c r="H233" s="501"/>
      <c r="I233" s="394"/>
      <c r="J233" s="395"/>
      <c r="K233" s="395"/>
      <c r="L233" s="395"/>
      <c r="M233" s="60"/>
      <c r="N233" s="513"/>
      <c r="O233" s="515"/>
      <c r="P233" s="383"/>
      <c r="Q233" s="383"/>
      <c r="R233" s="383"/>
      <c r="S233" s="383"/>
      <c r="T233" s="383"/>
      <c r="U233" s="383"/>
      <c r="V233" s="383"/>
      <c r="W233" s="383"/>
      <c r="X233" s="383"/>
      <c r="Y233" s="383"/>
      <c r="Z233" s="383"/>
      <c r="AA233" s="383"/>
      <c r="AB233" s="188"/>
      <c r="AC233" s="188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8"/>
      <c r="BM233" s="188"/>
      <c r="BN233" s="188"/>
      <c r="BO233" s="188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8"/>
      <c r="CA233" s="188"/>
      <c r="CB233" s="188"/>
      <c r="CC233" s="188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8"/>
      <c r="CO233" s="188"/>
      <c r="CP233" s="188"/>
      <c r="CQ233" s="188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188"/>
      <c r="DC233" s="188"/>
      <c r="DD233" s="188"/>
      <c r="DE233" s="188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188"/>
      <c r="DQ233" s="188"/>
      <c r="DR233" s="188"/>
      <c r="DS233" s="188"/>
      <c r="DT233" s="188"/>
      <c r="DU233" s="188"/>
      <c r="DV233" s="188"/>
      <c r="DW233" s="188"/>
      <c r="DX233" s="188"/>
      <c r="DY233" s="188"/>
      <c r="DZ233" s="188"/>
      <c r="EA233" s="188"/>
      <c r="EB233" s="188"/>
      <c r="EC233" s="188"/>
      <c r="ED233" s="188"/>
      <c r="EE233" s="188"/>
      <c r="EF233" s="188"/>
      <c r="EG233" s="188"/>
      <c r="EH233" s="188"/>
      <c r="EI233" s="188"/>
      <c r="EJ233" s="188"/>
      <c r="EK233" s="188"/>
      <c r="EL233" s="188"/>
      <c r="EM233" s="188"/>
      <c r="EN233" s="188"/>
    </row>
    <row r="234" spans="1:144" s="187" customFormat="1" ht="30.75" customHeight="1">
      <c r="A234" s="187">
        <f>E231-F231</f>
        <v>3.5700000002980232</v>
      </c>
      <c r="B234" s="133"/>
      <c r="C234" s="162" t="s">
        <v>518</v>
      </c>
      <c r="D234" s="500" t="s">
        <v>521</v>
      </c>
      <c r="E234" s="679">
        <f>3968576.32</f>
        <v>3968576.32</v>
      </c>
      <c r="F234" s="679">
        <f>3968576.32</f>
        <v>3968576.32</v>
      </c>
      <c r="G234" s="397"/>
      <c r="H234" s="442"/>
      <c r="I234" s="867"/>
      <c r="J234" s="868"/>
      <c r="K234" s="868"/>
      <c r="L234" s="868"/>
      <c r="M234" s="60"/>
      <c r="N234" s="514"/>
      <c r="O234" s="516"/>
      <c r="P234" s="383"/>
      <c r="Q234" s="383"/>
      <c r="R234" s="383"/>
      <c r="S234" s="383"/>
      <c r="T234" s="383"/>
      <c r="U234" s="383"/>
      <c r="V234" s="383"/>
      <c r="W234" s="383"/>
      <c r="X234" s="383"/>
      <c r="Y234" s="383"/>
      <c r="Z234" s="383"/>
      <c r="AA234" s="383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  <c r="BL234" s="188"/>
      <c r="BM234" s="188"/>
      <c r="BN234" s="188"/>
      <c r="BO234" s="188"/>
      <c r="BP234" s="188"/>
      <c r="BQ234" s="188"/>
      <c r="BR234" s="188"/>
      <c r="BS234" s="188"/>
      <c r="BT234" s="188"/>
      <c r="BU234" s="188"/>
      <c r="BV234" s="188"/>
      <c r="BW234" s="188"/>
      <c r="BX234" s="188"/>
      <c r="BY234" s="188"/>
      <c r="BZ234" s="188"/>
      <c r="CA234" s="188"/>
      <c r="CB234" s="188"/>
      <c r="CC234" s="188"/>
      <c r="CD234" s="188"/>
      <c r="CE234" s="188"/>
      <c r="CF234" s="188"/>
      <c r="CG234" s="188"/>
      <c r="CH234" s="188"/>
      <c r="CI234" s="188"/>
      <c r="CJ234" s="188"/>
      <c r="CK234" s="188"/>
      <c r="CL234" s="188"/>
      <c r="CM234" s="188"/>
      <c r="CN234" s="188"/>
      <c r="CO234" s="188"/>
      <c r="CP234" s="188"/>
      <c r="CQ234" s="188"/>
      <c r="CR234" s="188"/>
      <c r="CS234" s="188"/>
      <c r="CT234" s="188"/>
      <c r="CU234" s="188"/>
      <c r="CV234" s="188"/>
      <c r="CW234" s="188"/>
      <c r="CX234" s="188"/>
      <c r="CY234" s="188"/>
      <c r="CZ234" s="188"/>
      <c r="DA234" s="188"/>
      <c r="DB234" s="188"/>
      <c r="DC234" s="188"/>
      <c r="DD234" s="188"/>
      <c r="DE234" s="188"/>
      <c r="DF234" s="188"/>
      <c r="DG234" s="188"/>
      <c r="DH234" s="188"/>
      <c r="DI234" s="188"/>
      <c r="DJ234" s="188"/>
      <c r="DK234" s="188"/>
      <c r="DL234" s="188"/>
      <c r="DM234" s="188"/>
      <c r="DN234" s="188"/>
      <c r="DO234" s="188"/>
      <c r="DP234" s="188"/>
      <c r="DQ234" s="188"/>
      <c r="DR234" s="188"/>
      <c r="DS234" s="188"/>
      <c r="DT234" s="188"/>
      <c r="DU234" s="188"/>
      <c r="DV234" s="188"/>
      <c r="DW234" s="188"/>
      <c r="DX234" s="188"/>
      <c r="DY234" s="188"/>
      <c r="DZ234" s="188"/>
      <c r="EA234" s="188"/>
      <c r="EB234" s="188"/>
      <c r="EC234" s="188"/>
      <c r="ED234" s="188"/>
      <c r="EE234" s="188"/>
      <c r="EF234" s="188"/>
      <c r="EG234" s="188"/>
      <c r="EH234" s="188"/>
      <c r="EI234" s="188"/>
      <c r="EJ234" s="188"/>
      <c r="EK234" s="188"/>
      <c r="EL234" s="188"/>
      <c r="EM234" s="188"/>
      <c r="EN234" s="188"/>
    </row>
    <row r="235" spans="1:144" s="187" customFormat="1" ht="22.5" customHeight="1">
      <c r="B235" s="133"/>
      <c r="C235" s="162" t="s">
        <v>519</v>
      </c>
      <c r="D235" s="500" t="s">
        <v>522</v>
      </c>
      <c r="E235" s="504">
        <v>0</v>
      </c>
      <c r="F235" s="504">
        <v>0</v>
      </c>
      <c r="G235" s="397"/>
      <c r="H235" s="442"/>
      <c r="I235" s="867"/>
      <c r="J235" s="868"/>
      <c r="K235" s="868"/>
      <c r="L235" s="868"/>
      <c r="M235" s="60"/>
      <c r="N235" s="514"/>
      <c r="O235" s="516"/>
      <c r="P235" s="382"/>
      <c r="Q235" s="382"/>
      <c r="R235" s="382"/>
      <c r="S235" s="382"/>
      <c r="T235" s="382"/>
      <c r="U235" s="382"/>
      <c r="V235" s="382"/>
      <c r="W235" s="382"/>
      <c r="X235" s="383"/>
      <c r="Y235" s="383"/>
      <c r="Z235" s="383"/>
      <c r="AA235" s="383"/>
      <c r="AB235" s="188"/>
      <c r="AC235" s="188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8"/>
      <c r="BB235" s="188"/>
      <c r="BC235" s="188"/>
      <c r="BD235" s="188"/>
      <c r="BE235" s="188"/>
      <c r="BF235" s="188"/>
      <c r="BG235" s="188"/>
      <c r="BH235" s="188"/>
      <c r="BI235" s="188"/>
      <c r="BJ235" s="188"/>
      <c r="BK235" s="188"/>
      <c r="BL235" s="188"/>
      <c r="BM235" s="188"/>
      <c r="BN235" s="188"/>
      <c r="BO235" s="188"/>
      <c r="BP235" s="188"/>
      <c r="BQ235" s="188"/>
      <c r="BR235" s="188"/>
      <c r="BS235" s="188"/>
      <c r="BT235" s="188"/>
      <c r="BU235" s="188"/>
      <c r="BV235" s="188"/>
      <c r="BW235" s="188"/>
      <c r="BX235" s="188"/>
      <c r="BY235" s="188"/>
      <c r="BZ235" s="188"/>
      <c r="CA235" s="188"/>
      <c r="CB235" s="188"/>
      <c r="CC235" s="188"/>
      <c r="CD235" s="188"/>
      <c r="CE235" s="188"/>
      <c r="CF235" s="188"/>
      <c r="CG235" s="188"/>
      <c r="CH235" s="188"/>
      <c r="CI235" s="188"/>
      <c r="CJ235" s="188"/>
      <c r="CK235" s="188"/>
      <c r="CL235" s="188"/>
      <c r="CM235" s="188"/>
      <c r="CN235" s="188"/>
      <c r="CO235" s="188"/>
      <c r="CP235" s="188"/>
      <c r="CQ235" s="188"/>
      <c r="CR235" s="188"/>
      <c r="CS235" s="188"/>
      <c r="CT235" s="188"/>
      <c r="CU235" s="188"/>
      <c r="CV235" s="188"/>
      <c r="CW235" s="188"/>
      <c r="CX235" s="188"/>
      <c r="CY235" s="188"/>
      <c r="CZ235" s="188"/>
      <c r="DA235" s="188"/>
      <c r="DB235" s="188"/>
      <c r="DC235" s="188"/>
      <c r="DD235" s="188"/>
      <c r="DE235" s="188"/>
      <c r="DF235" s="188"/>
      <c r="DG235" s="188"/>
      <c r="DH235" s="188"/>
      <c r="DI235" s="188"/>
      <c r="DJ235" s="188"/>
      <c r="DK235" s="188"/>
      <c r="DL235" s="188"/>
      <c r="DM235" s="188"/>
      <c r="DN235" s="188"/>
      <c r="DO235" s="188"/>
      <c r="DP235" s="188"/>
      <c r="DQ235" s="188"/>
      <c r="DR235" s="188"/>
      <c r="DS235" s="188"/>
      <c r="DT235" s="188"/>
      <c r="DU235" s="188"/>
      <c r="DV235" s="188"/>
      <c r="DW235" s="188"/>
      <c r="DX235" s="188"/>
      <c r="DY235" s="188"/>
      <c r="DZ235" s="188"/>
      <c r="EA235" s="188"/>
      <c r="EB235" s="188"/>
      <c r="EC235" s="188"/>
      <c r="ED235" s="188"/>
      <c r="EE235" s="188"/>
      <c r="EF235" s="188"/>
      <c r="EG235" s="188"/>
      <c r="EH235" s="188"/>
      <c r="EI235" s="188"/>
      <c r="EJ235" s="188"/>
      <c r="EK235" s="188"/>
      <c r="EL235" s="188"/>
      <c r="EM235" s="188"/>
      <c r="EN235" s="188"/>
    </row>
    <row r="236" spans="1:144" s="1" customFormat="1" ht="49.5" customHeight="1">
      <c r="B236" s="184"/>
      <c r="C236" s="869" t="s">
        <v>675</v>
      </c>
      <c r="D236" s="870"/>
      <c r="E236" s="870"/>
      <c r="F236" s="870"/>
      <c r="G236" s="870"/>
      <c r="H236" s="870"/>
      <c r="I236" s="870"/>
      <c r="J236" s="870"/>
      <c r="K236" s="870"/>
      <c r="L236" s="870"/>
      <c r="M236" s="901"/>
      <c r="N236" s="902"/>
      <c r="O236" s="290"/>
      <c r="P236" s="382"/>
      <c r="Q236" s="382"/>
      <c r="R236" s="382"/>
      <c r="S236" s="382"/>
      <c r="T236" s="382"/>
      <c r="U236" s="382"/>
      <c r="V236" s="382"/>
      <c r="W236" s="382"/>
      <c r="X236" s="382"/>
      <c r="Y236" s="382"/>
      <c r="Z236" s="382"/>
      <c r="AA236" s="382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  <c r="EC236" s="124"/>
      <c r="ED236" s="124"/>
      <c r="EE236" s="124"/>
      <c r="EF236" s="124"/>
      <c r="EG236" s="124"/>
      <c r="EH236" s="124"/>
      <c r="EI236" s="124"/>
      <c r="EJ236" s="124"/>
      <c r="EK236" s="124"/>
      <c r="EL236" s="124"/>
      <c r="EM236" s="124"/>
      <c r="EN236" s="124"/>
    </row>
    <row r="237" spans="1:144" ht="37.5" customHeight="1">
      <c r="A237" s="7"/>
      <c r="B237" s="109" t="s">
        <v>141</v>
      </c>
      <c r="C237" s="841" t="s">
        <v>769</v>
      </c>
      <c r="D237" s="842"/>
      <c r="E237" s="842"/>
      <c r="F237" s="842"/>
      <c r="G237" s="842"/>
      <c r="H237" s="842"/>
      <c r="I237" s="842"/>
      <c r="J237" s="842"/>
      <c r="K237" s="842"/>
      <c r="L237" s="842"/>
      <c r="M237" s="842"/>
      <c r="N237" s="856"/>
    </row>
    <row r="238" spans="1:144" s="59" customFormat="1" ht="48.75" customHeight="1">
      <c r="B238" s="242"/>
      <c r="C238" s="776" t="s">
        <v>348</v>
      </c>
      <c r="D238" s="777"/>
      <c r="E238" s="777"/>
      <c r="F238" s="777"/>
      <c r="G238" s="777"/>
      <c r="H238" s="777"/>
      <c r="I238" s="777"/>
      <c r="J238" s="777"/>
      <c r="K238" s="777"/>
      <c r="L238" s="777"/>
      <c r="M238" s="777"/>
      <c r="N238" s="778"/>
      <c r="O238" s="288"/>
      <c r="P238" s="382"/>
      <c r="Q238" s="382"/>
      <c r="R238" s="382"/>
      <c r="S238" s="382"/>
      <c r="T238" s="382"/>
      <c r="U238" s="382"/>
      <c r="V238" s="382"/>
      <c r="W238" s="382"/>
      <c r="X238" s="382"/>
      <c r="Y238" s="382"/>
      <c r="Z238" s="382"/>
      <c r="AA238" s="382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  <c r="EC238" s="124"/>
      <c r="ED238" s="124"/>
      <c r="EE238" s="124"/>
      <c r="EF238" s="124"/>
      <c r="EG238" s="124"/>
      <c r="EH238" s="124"/>
      <c r="EI238" s="124"/>
      <c r="EJ238" s="124"/>
      <c r="EK238" s="124"/>
      <c r="EL238" s="124"/>
      <c r="EM238" s="124"/>
      <c r="EN238" s="124"/>
    </row>
    <row r="239" spans="1:144" s="59" customFormat="1" ht="48.75" customHeight="1">
      <c r="B239" s="242"/>
      <c r="C239" s="776" t="s">
        <v>349</v>
      </c>
      <c r="D239" s="777"/>
      <c r="E239" s="777"/>
      <c r="F239" s="777"/>
      <c r="G239" s="777"/>
      <c r="H239" s="777"/>
      <c r="I239" s="777"/>
      <c r="J239" s="777"/>
      <c r="K239" s="777"/>
      <c r="L239" s="777"/>
      <c r="M239" s="777"/>
      <c r="N239" s="778"/>
      <c r="O239" s="288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  <c r="Z239" s="382"/>
      <c r="AA239" s="382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  <c r="EC239" s="124"/>
      <c r="ED239" s="124"/>
      <c r="EE239" s="124"/>
      <c r="EF239" s="124"/>
      <c r="EG239" s="124"/>
      <c r="EH239" s="124"/>
      <c r="EI239" s="124"/>
      <c r="EJ239" s="124"/>
      <c r="EK239" s="124"/>
      <c r="EL239" s="124"/>
      <c r="EM239" s="124"/>
      <c r="EN239" s="124"/>
    </row>
    <row r="240" spans="1:144" s="59" customFormat="1" ht="22.5" customHeight="1">
      <c r="B240" s="242"/>
      <c r="C240" s="776" t="s">
        <v>259</v>
      </c>
      <c r="D240" s="777"/>
      <c r="E240" s="777"/>
      <c r="F240" s="777"/>
      <c r="G240" s="777"/>
      <c r="H240" s="777"/>
      <c r="I240" s="777"/>
      <c r="J240" s="777"/>
      <c r="K240" s="777"/>
      <c r="L240" s="777"/>
      <c r="M240" s="777"/>
      <c r="N240" s="778"/>
      <c r="O240" s="288"/>
      <c r="P240" s="382"/>
      <c r="Q240" s="382"/>
      <c r="R240" s="382"/>
      <c r="S240" s="382"/>
      <c r="T240" s="382"/>
      <c r="U240" s="382"/>
      <c r="V240" s="382"/>
      <c r="W240" s="382"/>
      <c r="X240" s="382"/>
      <c r="Y240" s="382"/>
      <c r="Z240" s="382"/>
      <c r="AA240" s="382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  <c r="EC240" s="124"/>
      <c r="ED240" s="124"/>
      <c r="EE240" s="124"/>
      <c r="EF240" s="124"/>
      <c r="EG240" s="124"/>
      <c r="EH240" s="124"/>
      <c r="EI240" s="124"/>
      <c r="EJ240" s="124"/>
      <c r="EK240" s="124"/>
      <c r="EL240" s="124"/>
      <c r="EM240" s="124"/>
      <c r="EN240" s="124"/>
    </row>
    <row r="241" spans="1:144" s="59" customFormat="1" ht="27.75" customHeight="1">
      <c r="B241" s="242"/>
      <c r="C241" s="776" t="s">
        <v>260</v>
      </c>
      <c r="D241" s="777"/>
      <c r="E241" s="777"/>
      <c r="F241" s="777"/>
      <c r="G241" s="777"/>
      <c r="H241" s="777"/>
      <c r="I241" s="777"/>
      <c r="J241" s="777"/>
      <c r="K241" s="777"/>
      <c r="L241" s="777"/>
      <c r="M241" s="777"/>
      <c r="N241" s="778"/>
      <c r="O241" s="288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  <c r="Z241" s="382"/>
      <c r="AA241" s="382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  <c r="EC241" s="124"/>
      <c r="ED241" s="124"/>
      <c r="EE241" s="124"/>
      <c r="EF241" s="124"/>
      <c r="EG241" s="124"/>
      <c r="EH241" s="124"/>
      <c r="EI241" s="124"/>
      <c r="EJ241" s="124"/>
      <c r="EK241" s="124"/>
      <c r="EL241" s="124"/>
      <c r="EM241" s="124"/>
      <c r="EN241" s="124"/>
    </row>
    <row r="242" spans="1:144" s="59" customFormat="1" ht="24.75" customHeight="1">
      <c r="B242" s="242"/>
      <c r="C242" s="779" t="s">
        <v>261</v>
      </c>
      <c r="D242" s="780"/>
      <c r="E242" s="780"/>
      <c r="F242" s="780"/>
      <c r="G242" s="780"/>
      <c r="H242" s="780"/>
      <c r="I242" s="780"/>
      <c r="J242" s="780"/>
      <c r="K242" s="780"/>
      <c r="L242" s="780"/>
      <c r="M242" s="780"/>
      <c r="N242" s="781"/>
      <c r="O242" s="288"/>
      <c r="P242" s="382"/>
      <c r="Q242" s="382"/>
      <c r="R242" s="382"/>
      <c r="S242" s="382"/>
      <c r="T242" s="382"/>
      <c r="U242" s="382"/>
      <c r="V242" s="382"/>
      <c r="W242" s="382"/>
      <c r="X242" s="382"/>
      <c r="Y242" s="382"/>
      <c r="Z242" s="382"/>
      <c r="AA242" s="382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  <c r="EC242" s="124"/>
      <c r="ED242" s="124"/>
      <c r="EE242" s="124"/>
      <c r="EF242" s="124"/>
      <c r="EG242" s="124"/>
      <c r="EH242" s="124"/>
      <c r="EI242" s="124"/>
      <c r="EJ242" s="124"/>
      <c r="EK242" s="124"/>
      <c r="EL242" s="124"/>
      <c r="EM242" s="124"/>
      <c r="EN242" s="124"/>
    </row>
    <row r="243" spans="1:144" s="59" customFormat="1" ht="24.75" customHeight="1">
      <c r="B243" s="242"/>
      <c r="C243" s="776" t="s">
        <v>350</v>
      </c>
      <c r="D243" s="777"/>
      <c r="E243" s="777"/>
      <c r="F243" s="777"/>
      <c r="G243" s="777"/>
      <c r="H243" s="777"/>
      <c r="I243" s="777"/>
      <c r="J243" s="777"/>
      <c r="K243" s="777"/>
      <c r="L243" s="777"/>
      <c r="M243" s="777"/>
      <c r="N243" s="778"/>
      <c r="O243" s="288"/>
      <c r="P243" s="382"/>
      <c r="Q243" s="382"/>
      <c r="R243" s="382"/>
      <c r="S243" s="382"/>
      <c r="T243" s="382"/>
      <c r="U243" s="382"/>
      <c r="V243" s="382"/>
      <c r="W243" s="382"/>
      <c r="X243" s="382"/>
      <c r="Y243" s="382"/>
      <c r="Z243" s="382"/>
      <c r="AA243" s="382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  <c r="EC243" s="124"/>
      <c r="ED243" s="124"/>
      <c r="EE243" s="124"/>
      <c r="EF243" s="124"/>
      <c r="EG243" s="124"/>
      <c r="EH243" s="124"/>
      <c r="EI243" s="124"/>
      <c r="EJ243" s="124"/>
      <c r="EK243" s="124"/>
      <c r="EL243" s="124"/>
      <c r="EM243" s="124"/>
      <c r="EN243" s="124"/>
    </row>
    <row r="244" spans="1:144" s="139" customFormat="1" ht="35.25" customHeight="1">
      <c r="B244" s="326" t="s">
        <v>395</v>
      </c>
      <c r="C244" s="791" t="s">
        <v>771</v>
      </c>
      <c r="D244" s="792"/>
      <c r="E244" s="792"/>
      <c r="F244" s="792"/>
      <c r="G244" s="792"/>
      <c r="H244" s="792"/>
      <c r="I244" s="792"/>
      <c r="J244" s="792"/>
      <c r="K244" s="792"/>
      <c r="L244" s="792"/>
      <c r="M244" s="792"/>
      <c r="N244" s="471"/>
      <c r="O244" s="288"/>
      <c r="P244" s="382"/>
      <c r="Q244" s="382"/>
      <c r="R244" s="382"/>
      <c r="S244" s="382"/>
      <c r="T244" s="382"/>
      <c r="U244" s="382"/>
      <c r="V244" s="382"/>
      <c r="W244" s="382"/>
      <c r="X244" s="382"/>
      <c r="Y244" s="382"/>
      <c r="Z244" s="382"/>
      <c r="AA244" s="382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  <c r="EC244" s="124"/>
      <c r="ED244" s="124"/>
      <c r="EE244" s="124"/>
      <c r="EF244" s="124"/>
      <c r="EG244" s="124"/>
      <c r="EH244" s="124"/>
      <c r="EI244" s="124"/>
      <c r="EJ244" s="124"/>
      <c r="EK244" s="124"/>
      <c r="EL244" s="124"/>
      <c r="EM244" s="124"/>
      <c r="EN244" s="124"/>
    </row>
    <row r="245" spans="1:144" s="181" customFormat="1" ht="67.5" customHeight="1">
      <c r="B245" s="8"/>
      <c r="C245" s="888" t="s">
        <v>351</v>
      </c>
      <c r="D245" s="889"/>
      <c r="E245" s="889"/>
      <c r="F245" s="889"/>
      <c r="G245" s="889"/>
      <c r="H245" s="889"/>
      <c r="I245" s="889"/>
      <c r="J245" s="889"/>
      <c r="K245" s="889"/>
      <c r="L245" s="889"/>
      <c r="M245" s="889"/>
      <c r="N245" s="890"/>
      <c r="O245" s="288"/>
      <c r="P245" s="382"/>
      <c r="Q245" s="382"/>
      <c r="R245" s="382"/>
      <c r="S245" s="382"/>
      <c r="T245" s="382"/>
      <c r="U245" s="382"/>
      <c r="V245" s="382"/>
      <c r="W245" s="382"/>
      <c r="X245" s="382"/>
      <c r="Y245" s="382"/>
      <c r="Z245" s="382"/>
      <c r="AA245" s="382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  <c r="EC245" s="124"/>
      <c r="ED245" s="124"/>
      <c r="EE245" s="124"/>
      <c r="EF245" s="124"/>
      <c r="EG245" s="124"/>
      <c r="EH245" s="124"/>
      <c r="EI245" s="124"/>
      <c r="EJ245" s="124"/>
      <c r="EK245" s="124"/>
      <c r="EL245" s="124"/>
      <c r="EM245" s="124"/>
      <c r="EN245" s="124"/>
    </row>
    <row r="246" spans="1:144" s="181" customFormat="1" ht="35.25" customHeight="1">
      <c r="B246" s="8"/>
      <c r="C246" s="888" t="s">
        <v>352</v>
      </c>
      <c r="D246" s="889"/>
      <c r="E246" s="889"/>
      <c r="F246" s="889"/>
      <c r="G246" s="889"/>
      <c r="H246" s="889"/>
      <c r="I246" s="889"/>
      <c r="J246" s="889"/>
      <c r="K246" s="889"/>
      <c r="L246" s="889"/>
      <c r="M246" s="889"/>
      <c r="N246" s="890"/>
      <c r="O246" s="288"/>
      <c r="P246" s="382"/>
      <c r="Q246" s="382"/>
      <c r="R246" s="382"/>
      <c r="S246" s="382"/>
      <c r="T246" s="382"/>
      <c r="U246" s="382"/>
      <c r="V246" s="382"/>
      <c r="W246" s="382"/>
      <c r="X246" s="382"/>
      <c r="Y246" s="382"/>
      <c r="Z246" s="382"/>
      <c r="AA246" s="382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  <c r="EC246" s="124"/>
      <c r="ED246" s="124"/>
      <c r="EE246" s="124"/>
      <c r="EF246" s="124"/>
      <c r="EG246" s="124"/>
      <c r="EH246" s="124"/>
      <c r="EI246" s="124"/>
      <c r="EJ246" s="124"/>
      <c r="EK246" s="124"/>
      <c r="EL246" s="124"/>
      <c r="EM246" s="124"/>
      <c r="EN246" s="124"/>
    </row>
    <row r="247" spans="1:144" s="14" customFormat="1" ht="58.5" customHeight="1">
      <c r="A247" s="9"/>
      <c r="B247" s="10" t="s">
        <v>396</v>
      </c>
      <c r="C247" s="245" t="s">
        <v>353</v>
      </c>
      <c r="D247" s="10" t="s">
        <v>331</v>
      </c>
      <c r="E247" s="588">
        <v>480000</v>
      </c>
      <c r="F247" s="588">
        <v>479289.43</v>
      </c>
      <c r="G247" s="366">
        <f>(F247/E247)*100</f>
        <v>99.851964583333327</v>
      </c>
      <c r="H247" s="399">
        <f>G247/100</f>
        <v>0.9985196458333333</v>
      </c>
      <c r="I247" s="245" t="s">
        <v>258</v>
      </c>
      <c r="J247" s="12" t="s">
        <v>23</v>
      </c>
      <c r="K247" s="589">
        <v>10</v>
      </c>
      <c r="L247" s="589">
        <v>14</v>
      </c>
      <c r="M247" s="13">
        <f>L247/K247*100</f>
        <v>140</v>
      </c>
      <c r="N247" s="396">
        <f>M247/100</f>
        <v>1.4</v>
      </c>
      <c r="O247" s="289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  <c r="CW247" s="127"/>
      <c r="CX247" s="127"/>
      <c r="CY247" s="127"/>
      <c r="CZ247" s="127"/>
      <c r="DA247" s="127"/>
      <c r="DB247" s="127"/>
      <c r="DC247" s="127"/>
      <c r="DD247" s="127"/>
      <c r="DE247" s="127"/>
      <c r="DF247" s="127"/>
      <c r="DG247" s="127"/>
      <c r="DH247" s="127"/>
      <c r="DI247" s="127"/>
      <c r="DJ247" s="127"/>
      <c r="DK247" s="127"/>
      <c r="DL247" s="127"/>
      <c r="DM247" s="127"/>
      <c r="DN247" s="127"/>
      <c r="DO247" s="127"/>
      <c r="DP247" s="127"/>
      <c r="DQ247" s="127"/>
      <c r="DR247" s="127"/>
      <c r="DS247" s="127"/>
      <c r="DT247" s="127"/>
      <c r="DU247" s="127"/>
      <c r="DV247" s="127"/>
      <c r="DW247" s="127"/>
      <c r="DX247" s="127"/>
      <c r="DY247" s="127"/>
      <c r="DZ247" s="127"/>
      <c r="EA247" s="127"/>
      <c r="EB247" s="127"/>
      <c r="EC247" s="127"/>
      <c r="ED247" s="127"/>
      <c r="EE247" s="127"/>
      <c r="EF247" s="127"/>
      <c r="EG247" s="127"/>
      <c r="EH247" s="127"/>
      <c r="EI247" s="127"/>
      <c r="EJ247" s="127"/>
      <c r="EK247" s="127"/>
      <c r="EL247" s="127"/>
      <c r="EM247" s="127"/>
      <c r="EN247" s="127"/>
    </row>
    <row r="248" spans="1:144" s="14" customFormat="1" ht="40.5" customHeight="1">
      <c r="A248" s="9"/>
      <c r="B248" s="10" t="s">
        <v>397</v>
      </c>
      <c r="C248" s="245" t="s">
        <v>354</v>
      </c>
      <c r="D248" s="10" t="s">
        <v>331</v>
      </c>
      <c r="E248" s="588">
        <f>300000</f>
        <v>300000</v>
      </c>
      <c r="F248" s="588">
        <v>292503.2</v>
      </c>
      <c r="G248" s="397">
        <f>(F248/E248)*100</f>
        <v>97.501066666666674</v>
      </c>
      <c r="H248" s="399">
        <f>G248/100</f>
        <v>0.97501066666666669</v>
      </c>
      <c r="I248" s="367" t="s">
        <v>678</v>
      </c>
      <c r="J248" s="12" t="s">
        <v>23</v>
      </c>
      <c r="K248" s="589">
        <v>15</v>
      </c>
      <c r="L248" s="589">
        <v>22</v>
      </c>
      <c r="M248" s="13">
        <f>L248/K248*100</f>
        <v>146.66666666666666</v>
      </c>
      <c r="N248" s="598">
        <f>M248/100</f>
        <v>1.4666666666666666</v>
      </c>
      <c r="O248" s="289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  <c r="CW248" s="127"/>
      <c r="CX248" s="127"/>
      <c r="CY248" s="127"/>
      <c r="CZ248" s="127"/>
      <c r="DA248" s="127"/>
      <c r="DB248" s="127"/>
      <c r="DC248" s="127"/>
      <c r="DD248" s="127"/>
      <c r="DE248" s="127"/>
      <c r="DF248" s="127"/>
      <c r="DG248" s="127"/>
      <c r="DH248" s="127"/>
      <c r="DI248" s="127"/>
      <c r="DJ248" s="127"/>
      <c r="DK248" s="127"/>
      <c r="DL248" s="127"/>
      <c r="DM248" s="127"/>
      <c r="DN248" s="127"/>
      <c r="DO248" s="127"/>
      <c r="DP248" s="127"/>
      <c r="DQ248" s="127"/>
      <c r="DR248" s="127"/>
      <c r="DS248" s="127"/>
      <c r="DT248" s="127"/>
      <c r="DU248" s="127"/>
      <c r="DV248" s="127"/>
      <c r="DW248" s="127"/>
      <c r="DX248" s="127"/>
      <c r="DY248" s="127"/>
      <c r="DZ248" s="127"/>
      <c r="EA248" s="127"/>
      <c r="EB248" s="127"/>
      <c r="EC248" s="127"/>
      <c r="ED248" s="127"/>
      <c r="EE248" s="127"/>
      <c r="EF248" s="127"/>
      <c r="EG248" s="127"/>
      <c r="EH248" s="127"/>
      <c r="EI248" s="127"/>
      <c r="EJ248" s="127"/>
      <c r="EK248" s="127"/>
      <c r="EL248" s="127"/>
      <c r="EM248" s="127"/>
      <c r="EN248" s="127"/>
    </row>
    <row r="249" spans="1:144" s="14" customFormat="1" ht="40.5" customHeight="1">
      <c r="A249" s="9"/>
      <c r="B249" s="172" t="s">
        <v>398</v>
      </c>
      <c r="C249" s="90" t="s">
        <v>676</v>
      </c>
      <c r="D249" s="172" t="s">
        <v>331</v>
      </c>
      <c r="E249" s="687">
        <f>1741330.02</f>
        <v>1741330.02</v>
      </c>
      <c r="F249" s="588">
        <f>1741330.02</f>
        <v>1741330.02</v>
      </c>
      <c r="G249" s="678">
        <f>(F249/E249)*100</f>
        <v>100</v>
      </c>
      <c r="H249" s="399">
        <f>G249/100</f>
        <v>1</v>
      </c>
      <c r="I249" s="90" t="s">
        <v>679</v>
      </c>
      <c r="J249" s="91" t="s">
        <v>23</v>
      </c>
      <c r="K249" s="688">
        <v>10</v>
      </c>
      <c r="L249" s="688">
        <v>10</v>
      </c>
      <c r="M249" s="13">
        <f>L249/K249*100</f>
        <v>100</v>
      </c>
      <c r="N249" s="598">
        <f>M249/100</f>
        <v>1</v>
      </c>
      <c r="O249" s="288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  <c r="CW249" s="127"/>
      <c r="CX249" s="127"/>
      <c r="CY249" s="127"/>
      <c r="CZ249" s="127"/>
      <c r="DA249" s="127"/>
      <c r="DB249" s="127"/>
      <c r="DC249" s="127"/>
      <c r="DD249" s="127"/>
      <c r="DE249" s="127"/>
      <c r="DF249" s="127"/>
      <c r="DG249" s="127"/>
      <c r="DH249" s="127"/>
      <c r="DI249" s="127"/>
      <c r="DJ249" s="127"/>
      <c r="DK249" s="127"/>
      <c r="DL249" s="127"/>
      <c r="DM249" s="127"/>
      <c r="DN249" s="127"/>
      <c r="DO249" s="127"/>
      <c r="DP249" s="127"/>
      <c r="DQ249" s="127"/>
      <c r="DR249" s="127"/>
      <c r="DS249" s="127"/>
      <c r="DT249" s="127"/>
      <c r="DU249" s="127"/>
      <c r="DV249" s="127"/>
      <c r="DW249" s="127"/>
      <c r="DX249" s="127"/>
      <c r="DY249" s="127"/>
      <c r="DZ249" s="127"/>
      <c r="EA249" s="127"/>
      <c r="EB249" s="127"/>
      <c r="EC249" s="127"/>
      <c r="ED249" s="127"/>
      <c r="EE249" s="127"/>
      <c r="EF249" s="127"/>
      <c r="EG249" s="127"/>
      <c r="EH249" s="127"/>
      <c r="EI249" s="127"/>
      <c r="EJ249" s="127"/>
      <c r="EK249" s="127"/>
      <c r="EL249" s="127"/>
      <c r="EM249" s="127"/>
      <c r="EN249" s="127"/>
    </row>
    <row r="250" spans="1:144" s="14" customFormat="1" ht="40.5" customHeight="1">
      <c r="A250" s="9"/>
      <c r="B250" s="172" t="s">
        <v>402</v>
      </c>
      <c r="C250" s="90" t="s">
        <v>677</v>
      </c>
      <c r="D250" s="172" t="s">
        <v>331</v>
      </c>
      <c r="E250" s="687">
        <f>6072200</f>
        <v>6072200</v>
      </c>
      <c r="F250" s="588">
        <v>0</v>
      </c>
      <c r="G250" s="678">
        <f>(F250/E250)*100</f>
        <v>0</v>
      </c>
      <c r="H250" s="399">
        <f>G250/100</f>
        <v>0</v>
      </c>
      <c r="I250" s="90" t="s">
        <v>680</v>
      </c>
      <c r="J250" s="91" t="s">
        <v>12</v>
      </c>
      <c r="K250" s="688">
        <v>100</v>
      </c>
      <c r="L250" s="688">
        <v>100</v>
      </c>
      <c r="M250" s="13">
        <f>L250/K250*100</f>
        <v>100</v>
      </c>
      <c r="N250" s="598">
        <f>M250/100</f>
        <v>1</v>
      </c>
      <c r="O250" s="288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/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  <c r="CW250" s="127"/>
      <c r="CX250" s="127"/>
      <c r="CY250" s="127"/>
      <c r="CZ250" s="127"/>
      <c r="DA250" s="127"/>
      <c r="DB250" s="127"/>
      <c r="DC250" s="127"/>
      <c r="DD250" s="127"/>
      <c r="DE250" s="127"/>
      <c r="DF250" s="127"/>
      <c r="DG250" s="127"/>
      <c r="DH250" s="127"/>
      <c r="DI250" s="127"/>
      <c r="DJ250" s="127"/>
      <c r="DK250" s="127"/>
      <c r="DL250" s="127"/>
      <c r="DM250" s="127"/>
      <c r="DN250" s="127"/>
      <c r="DO250" s="127"/>
      <c r="DP250" s="127"/>
      <c r="DQ250" s="127"/>
      <c r="DR250" s="127"/>
      <c r="DS250" s="127"/>
      <c r="DT250" s="127"/>
      <c r="DU250" s="127"/>
      <c r="DV250" s="127"/>
      <c r="DW250" s="127"/>
      <c r="DX250" s="127"/>
      <c r="DY250" s="127"/>
      <c r="DZ250" s="127"/>
      <c r="EA250" s="127"/>
      <c r="EB250" s="127"/>
      <c r="EC250" s="127"/>
      <c r="ED250" s="127"/>
      <c r="EE250" s="127"/>
      <c r="EF250" s="127"/>
      <c r="EG250" s="127"/>
      <c r="EH250" s="127"/>
      <c r="EI250" s="127"/>
      <c r="EJ250" s="127"/>
      <c r="EK250" s="127"/>
      <c r="EL250" s="127"/>
      <c r="EM250" s="127"/>
      <c r="EN250" s="127"/>
    </row>
    <row r="251" spans="1:144" s="209" customFormat="1" ht="27" customHeight="1">
      <c r="B251" s="210"/>
      <c r="C251" s="243" t="s">
        <v>21</v>
      </c>
      <c r="D251" s="210"/>
      <c r="E251" s="315">
        <f>E247+E248+E249+E250</f>
        <v>8593530.0199999996</v>
      </c>
      <c r="F251" s="315">
        <f>F247+F248+F249+F250</f>
        <v>2513122.65</v>
      </c>
      <c r="G251" s="518">
        <v>99.9</v>
      </c>
      <c r="H251" s="518">
        <v>0.99</v>
      </c>
      <c r="I251" s="243"/>
      <c r="J251" s="212"/>
      <c r="K251" s="279"/>
      <c r="L251" s="279"/>
      <c r="M251" s="211">
        <f>(M247+M248+M249+M250)/4</f>
        <v>121.66666666666666</v>
      </c>
      <c r="N251" s="211">
        <f>(N247+N248+N249+N250)/4</f>
        <v>1.2166666666666666</v>
      </c>
      <c r="O251" s="292"/>
      <c r="P251" s="386"/>
      <c r="Q251" s="386"/>
      <c r="R251" s="386"/>
      <c r="S251" s="386"/>
      <c r="T251" s="386"/>
      <c r="U251" s="386"/>
      <c r="V251" s="386"/>
      <c r="W251" s="386"/>
      <c r="X251" s="386"/>
      <c r="Y251" s="386"/>
      <c r="Z251" s="386"/>
      <c r="AA251" s="386"/>
      <c r="AB251" s="239"/>
      <c r="AC251" s="239"/>
      <c r="AD251" s="239"/>
      <c r="AE251" s="239"/>
      <c r="AF251" s="239"/>
      <c r="AG251" s="239"/>
      <c r="AH251" s="239"/>
      <c r="AI251" s="239"/>
      <c r="AJ251" s="239"/>
      <c r="AK251" s="239"/>
      <c r="AL251" s="239"/>
      <c r="AM251" s="239"/>
      <c r="AN251" s="239"/>
      <c r="AO251" s="239"/>
      <c r="AP251" s="239"/>
      <c r="AQ251" s="239"/>
      <c r="AR251" s="239"/>
      <c r="AS251" s="239"/>
      <c r="AT251" s="239"/>
      <c r="AU251" s="239"/>
      <c r="AV251" s="239"/>
      <c r="AW251" s="239"/>
      <c r="AX251" s="239"/>
      <c r="AY251" s="239"/>
      <c r="AZ251" s="239"/>
      <c r="BA251" s="239"/>
      <c r="BB251" s="239"/>
      <c r="BC251" s="239"/>
      <c r="BD251" s="239"/>
      <c r="BE251" s="239"/>
      <c r="BF251" s="239"/>
      <c r="BG251" s="239"/>
      <c r="BH251" s="239"/>
      <c r="BI251" s="239"/>
      <c r="BJ251" s="239"/>
      <c r="BK251" s="239"/>
      <c r="BL251" s="239"/>
      <c r="BM251" s="239"/>
      <c r="BN251" s="239"/>
      <c r="BO251" s="239"/>
      <c r="BP251" s="239"/>
      <c r="BQ251" s="239"/>
      <c r="BR251" s="239"/>
      <c r="BS251" s="239"/>
      <c r="BT251" s="239"/>
      <c r="BU251" s="239"/>
      <c r="BV251" s="239"/>
      <c r="BW251" s="239"/>
      <c r="BX251" s="239"/>
      <c r="BY251" s="239"/>
      <c r="BZ251" s="239"/>
      <c r="CA251" s="239"/>
      <c r="CB251" s="239"/>
      <c r="CC251" s="239"/>
      <c r="CD251" s="239"/>
      <c r="CE251" s="239"/>
      <c r="CF251" s="239"/>
      <c r="CG251" s="239"/>
      <c r="CH251" s="239"/>
      <c r="CI251" s="239"/>
      <c r="CJ251" s="239"/>
      <c r="CK251" s="239"/>
      <c r="CL251" s="239"/>
      <c r="CM251" s="239"/>
      <c r="CN251" s="239"/>
      <c r="CO251" s="239"/>
      <c r="CP251" s="239"/>
      <c r="CQ251" s="239"/>
      <c r="CR251" s="239"/>
      <c r="CS251" s="239"/>
      <c r="CT251" s="239"/>
      <c r="CU251" s="239"/>
      <c r="CV251" s="239"/>
      <c r="CW251" s="239"/>
      <c r="CX251" s="239"/>
      <c r="CY251" s="239"/>
      <c r="CZ251" s="239"/>
      <c r="DA251" s="239"/>
      <c r="DB251" s="239"/>
      <c r="DC251" s="239"/>
      <c r="DD251" s="239"/>
      <c r="DE251" s="239"/>
      <c r="DF251" s="239"/>
      <c r="DG251" s="239"/>
      <c r="DH251" s="239"/>
      <c r="DI251" s="239"/>
      <c r="DJ251" s="239"/>
      <c r="DK251" s="239"/>
      <c r="DL251" s="239"/>
      <c r="DM251" s="239"/>
      <c r="DN251" s="239"/>
      <c r="DO251" s="239"/>
      <c r="DP251" s="239"/>
      <c r="DQ251" s="239"/>
      <c r="DR251" s="239"/>
      <c r="DS251" s="239"/>
      <c r="DT251" s="239"/>
      <c r="DU251" s="239"/>
      <c r="DV251" s="239"/>
      <c r="DW251" s="239"/>
      <c r="DX251" s="239"/>
      <c r="DY251" s="239"/>
      <c r="DZ251" s="239"/>
      <c r="EA251" s="239"/>
      <c r="EB251" s="239"/>
      <c r="EC251" s="239"/>
      <c r="ED251" s="239"/>
      <c r="EE251" s="239"/>
      <c r="EF251" s="239"/>
      <c r="EG251" s="239"/>
      <c r="EH251" s="239"/>
      <c r="EI251" s="239"/>
      <c r="EJ251" s="239"/>
      <c r="EK251" s="239"/>
      <c r="EL251" s="239"/>
      <c r="EM251" s="239"/>
      <c r="EN251" s="239"/>
    </row>
    <row r="252" spans="1:144" s="213" customFormat="1" ht="40.5" customHeight="1">
      <c r="B252" s="517" t="s">
        <v>526</v>
      </c>
      <c r="C252" s="805" t="s">
        <v>527</v>
      </c>
      <c r="D252" s="806"/>
      <c r="E252" s="806"/>
      <c r="F252" s="806"/>
      <c r="G252" s="806"/>
      <c r="H252" s="806"/>
      <c r="I252" s="806"/>
      <c r="J252" s="806"/>
      <c r="K252" s="806"/>
      <c r="L252" s="806"/>
      <c r="M252" s="806"/>
      <c r="N252" s="807"/>
      <c r="O252" s="294"/>
      <c r="P252" s="387"/>
      <c r="Q252" s="387"/>
      <c r="R252" s="387"/>
      <c r="S252" s="387"/>
      <c r="T252" s="387"/>
      <c r="U252" s="387"/>
      <c r="V252" s="387"/>
      <c r="W252" s="387"/>
      <c r="X252" s="387"/>
      <c r="Y252" s="387"/>
      <c r="Z252" s="387"/>
      <c r="AA252" s="387"/>
      <c r="AB252" s="240"/>
      <c r="AC252" s="240"/>
      <c r="AD252" s="240"/>
      <c r="AE252" s="240"/>
      <c r="AF252" s="240"/>
      <c r="AG252" s="240"/>
      <c r="AH252" s="240"/>
      <c r="AI252" s="240"/>
      <c r="AJ252" s="240"/>
      <c r="AK252" s="240"/>
      <c r="AL252" s="240"/>
      <c r="AM252" s="240"/>
      <c r="AN252" s="240"/>
      <c r="AO252" s="240"/>
      <c r="AP252" s="240"/>
      <c r="AQ252" s="240"/>
      <c r="AR252" s="240"/>
      <c r="AS252" s="240"/>
      <c r="AT252" s="240"/>
      <c r="AU252" s="240"/>
      <c r="AV252" s="240"/>
      <c r="AW252" s="240"/>
      <c r="AX252" s="240"/>
      <c r="AY252" s="240"/>
      <c r="AZ252" s="240"/>
      <c r="BA252" s="240"/>
      <c r="BB252" s="240"/>
      <c r="BC252" s="240"/>
      <c r="BD252" s="240"/>
      <c r="BE252" s="240"/>
      <c r="BF252" s="240"/>
      <c r="BG252" s="240"/>
      <c r="BH252" s="240"/>
      <c r="BI252" s="240"/>
      <c r="BJ252" s="240"/>
      <c r="BK252" s="240"/>
      <c r="BL252" s="240"/>
      <c r="BM252" s="240"/>
      <c r="BN252" s="240"/>
      <c r="BO252" s="240"/>
      <c r="BP252" s="240"/>
      <c r="BQ252" s="240"/>
      <c r="BR252" s="240"/>
      <c r="BS252" s="240"/>
      <c r="BT252" s="240"/>
      <c r="BU252" s="240"/>
      <c r="BV252" s="240"/>
      <c r="BW252" s="240"/>
      <c r="BX252" s="240"/>
      <c r="BY252" s="240"/>
      <c r="BZ252" s="240"/>
      <c r="CA252" s="240"/>
      <c r="CB252" s="240"/>
      <c r="CC252" s="240"/>
      <c r="CD252" s="240"/>
      <c r="CE252" s="240"/>
      <c r="CF252" s="240"/>
      <c r="CG252" s="240"/>
      <c r="CH252" s="240"/>
      <c r="CI252" s="240"/>
      <c r="CJ252" s="240"/>
      <c r="CK252" s="240"/>
      <c r="CL252" s="240"/>
      <c r="CM252" s="240"/>
      <c r="CN252" s="240"/>
      <c r="CO252" s="240"/>
      <c r="CP252" s="240"/>
      <c r="CQ252" s="240"/>
      <c r="CR252" s="240"/>
      <c r="CS252" s="240"/>
      <c r="CT252" s="240"/>
      <c r="CU252" s="240"/>
      <c r="CV252" s="240"/>
      <c r="CW252" s="240"/>
      <c r="CX252" s="240"/>
      <c r="CY252" s="240"/>
      <c r="CZ252" s="240"/>
      <c r="DA252" s="240"/>
      <c r="DB252" s="240"/>
      <c r="DC252" s="240"/>
      <c r="DD252" s="240"/>
      <c r="DE252" s="240"/>
      <c r="DF252" s="240"/>
      <c r="DG252" s="240"/>
      <c r="DH252" s="240"/>
      <c r="DI252" s="240"/>
      <c r="DJ252" s="240"/>
      <c r="DK252" s="240"/>
      <c r="DL252" s="240"/>
      <c r="DM252" s="240"/>
      <c r="DN252" s="240"/>
      <c r="DO252" s="240"/>
      <c r="DP252" s="240"/>
      <c r="DQ252" s="240"/>
      <c r="DR252" s="240"/>
      <c r="DS252" s="240"/>
      <c r="DT252" s="240"/>
      <c r="DU252" s="240"/>
      <c r="DV252" s="240"/>
      <c r="DW252" s="240"/>
      <c r="DX252" s="240"/>
      <c r="DY252" s="240"/>
      <c r="DZ252" s="240"/>
      <c r="EA252" s="240"/>
      <c r="EB252" s="240"/>
      <c r="EC252" s="240"/>
      <c r="ED252" s="240"/>
      <c r="EE252" s="240"/>
      <c r="EF252" s="240"/>
      <c r="EG252" s="240"/>
      <c r="EH252" s="240"/>
      <c r="EI252" s="240"/>
      <c r="EJ252" s="240"/>
      <c r="EK252" s="240"/>
      <c r="EL252" s="240"/>
      <c r="EM252" s="240"/>
      <c r="EN252" s="240"/>
    </row>
    <row r="253" spans="1:144" s="14" customFormat="1" ht="40.5" customHeight="1">
      <c r="A253" s="9"/>
      <c r="B253" s="172"/>
      <c r="C253" s="887" t="s">
        <v>355</v>
      </c>
      <c r="D253" s="903"/>
      <c r="E253" s="903"/>
      <c r="F253" s="903"/>
      <c r="G253" s="903"/>
      <c r="H253" s="903"/>
      <c r="I253" s="903"/>
      <c r="J253" s="903"/>
      <c r="K253" s="903"/>
      <c r="L253" s="903"/>
      <c r="M253" s="903"/>
      <c r="N253" s="904"/>
      <c r="O253" s="288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  <c r="CW253" s="127"/>
      <c r="CX253" s="127"/>
      <c r="CY253" s="127"/>
      <c r="CZ253" s="127"/>
      <c r="DA253" s="127"/>
      <c r="DB253" s="127"/>
      <c r="DC253" s="127"/>
      <c r="DD253" s="127"/>
      <c r="DE253" s="127"/>
      <c r="DF253" s="127"/>
      <c r="DG253" s="127"/>
      <c r="DH253" s="127"/>
      <c r="DI253" s="127"/>
      <c r="DJ253" s="127"/>
      <c r="DK253" s="127"/>
      <c r="DL253" s="127"/>
      <c r="DM253" s="127"/>
      <c r="DN253" s="127"/>
      <c r="DO253" s="127"/>
      <c r="DP253" s="127"/>
      <c r="DQ253" s="127"/>
      <c r="DR253" s="127"/>
      <c r="DS253" s="127"/>
      <c r="DT253" s="127"/>
      <c r="DU253" s="127"/>
      <c r="DV253" s="127"/>
      <c r="DW253" s="127"/>
      <c r="DX253" s="127"/>
      <c r="DY253" s="127"/>
      <c r="DZ253" s="127"/>
      <c r="EA253" s="127"/>
      <c r="EB253" s="127"/>
      <c r="EC253" s="127"/>
      <c r="ED253" s="127"/>
      <c r="EE253" s="127"/>
      <c r="EF253" s="127"/>
      <c r="EG253" s="127"/>
      <c r="EH253" s="127"/>
      <c r="EI253" s="127"/>
      <c r="EJ253" s="127"/>
      <c r="EK253" s="127"/>
      <c r="EL253" s="127"/>
      <c r="EM253" s="127"/>
      <c r="EN253" s="127"/>
    </row>
    <row r="254" spans="1:144" s="14" customFormat="1" ht="40.5" customHeight="1">
      <c r="A254" s="9"/>
      <c r="B254" s="172"/>
      <c r="C254" s="887" t="s">
        <v>356</v>
      </c>
      <c r="D254" s="879"/>
      <c r="E254" s="879"/>
      <c r="F254" s="879"/>
      <c r="G254" s="879"/>
      <c r="H254" s="879"/>
      <c r="I254" s="879"/>
      <c r="J254" s="879"/>
      <c r="K254" s="879"/>
      <c r="L254" s="879"/>
      <c r="M254" s="879"/>
      <c r="N254" s="880"/>
      <c r="O254" s="288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  <c r="CW254" s="127"/>
      <c r="CX254" s="127"/>
      <c r="CY254" s="127"/>
      <c r="CZ254" s="127"/>
      <c r="DA254" s="127"/>
      <c r="DB254" s="127"/>
      <c r="DC254" s="127"/>
      <c r="DD254" s="127"/>
      <c r="DE254" s="127"/>
      <c r="DF254" s="127"/>
      <c r="DG254" s="127"/>
      <c r="DH254" s="127"/>
      <c r="DI254" s="127"/>
      <c r="DJ254" s="127"/>
      <c r="DK254" s="127"/>
      <c r="DL254" s="127"/>
      <c r="DM254" s="127"/>
      <c r="DN254" s="127"/>
      <c r="DO254" s="127"/>
      <c r="DP254" s="127"/>
      <c r="DQ254" s="127"/>
      <c r="DR254" s="127"/>
      <c r="DS254" s="127"/>
      <c r="DT254" s="127"/>
      <c r="DU254" s="127"/>
      <c r="DV254" s="127"/>
      <c r="DW254" s="127"/>
      <c r="DX254" s="127"/>
      <c r="DY254" s="127"/>
      <c r="DZ254" s="127"/>
      <c r="EA254" s="127"/>
      <c r="EB254" s="127"/>
      <c r="EC254" s="127"/>
      <c r="ED254" s="127"/>
      <c r="EE254" s="127"/>
      <c r="EF254" s="127"/>
      <c r="EG254" s="127"/>
      <c r="EH254" s="127"/>
      <c r="EI254" s="127"/>
      <c r="EJ254" s="127"/>
      <c r="EK254" s="127"/>
      <c r="EL254" s="127"/>
      <c r="EM254" s="127"/>
      <c r="EN254" s="127"/>
    </row>
    <row r="255" spans="1:144" s="14" customFormat="1" ht="80.25" customHeight="1">
      <c r="A255" s="9"/>
      <c r="B255" s="172" t="s">
        <v>399</v>
      </c>
      <c r="C255" s="90" t="s">
        <v>546</v>
      </c>
      <c r="D255" s="172" t="s">
        <v>331</v>
      </c>
      <c r="E255" s="766">
        <v>2212549.75</v>
      </c>
      <c r="F255" s="766">
        <v>1878349.14</v>
      </c>
      <c r="G255" s="362">
        <f>F255/E255*100</f>
        <v>84.895227327656698</v>
      </c>
      <c r="H255" s="445">
        <f>G255/100</f>
        <v>0.84895227327656697</v>
      </c>
      <c r="I255" s="90" t="s">
        <v>681</v>
      </c>
      <c r="J255" s="12" t="s">
        <v>23</v>
      </c>
      <c r="K255" s="269">
        <v>100</v>
      </c>
      <c r="L255" s="269">
        <v>100</v>
      </c>
      <c r="M255" s="92">
        <v>100</v>
      </c>
      <c r="N255" s="363">
        <f>M255/100</f>
        <v>1</v>
      </c>
      <c r="O255" s="53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  <c r="CW255" s="127"/>
      <c r="CX255" s="127"/>
      <c r="CY255" s="127"/>
      <c r="CZ255" s="127"/>
      <c r="DA255" s="127"/>
      <c r="DB255" s="127"/>
      <c r="DC255" s="127"/>
      <c r="DD255" s="127"/>
      <c r="DE255" s="127"/>
      <c r="DF255" s="127"/>
      <c r="DG255" s="127"/>
      <c r="DH255" s="127"/>
      <c r="DI255" s="127"/>
      <c r="DJ255" s="127"/>
      <c r="DK255" s="127"/>
      <c r="DL255" s="127"/>
      <c r="DM255" s="127"/>
      <c r="DN255" s="127"/>
      <c r="DO255" s="127"/>
      <c r="DP255" s="127"/>
      <c r="DQ255" s="127"/>
      <c r="DR255" s="127"/>
      <c r="DS255" s="127"/>
      <c r="DT255" s="127"/>
      <c r="DU255" s="127"/>
      <c r="DV255" s="127"/>
      <c r="DW255" s="127"/>
      <c r="DX255" s="127"/>
      <c r="DY255" s="127"/>
      <c r="DZ255" s="127"/>
      <c r="EA255" s="127"/>
      <c r="EB255" s="127"/>
      <c r="EC255" s="127"/>
      <c r="ED255" s="127"/>
      <c r="EE255" s="127"/>
      <c r="EF255" s="127"/>
      <c r="EG255" s="127"/>
      <c r="EH255" s="127"/>
      <c r="EI255" s="127"/>
      <c r="EJ255" s="127"/>
      <c r="EK255" s="127"/>
      <c r="EL255" s="127"/>
      <c r="EM255" s="127"/>
      <c r="EN255" s="127"/>
    </row>
    <row r="256" spans="1:144" s="14" customFormat="1" ht="72" customHeight="1">
      <c r="A256" s="9"/>
      <c r="B256" s="172" t="s">
        <v>400</v>
      </c>
      <c r="C256" s="90" t="s">
        <v>815</v>
      </c>
      <c r="D256" s="172" t="s">
        <v>331</v>
      </c>
      <c r="E256" s="767">
        <v>5573169.7300000004</v>
      </c>
      <c r="F256" s="767">
        <v>5573169.7300000004</v>
      </c>
      <c r="G256" s="362">
        <f>F256/E256*100</f>
        <v>100</v>
      </c>
      <c r="H256" s="445">
        <f>G256/100</f>
        <v>1</v>
      </c>
      <c r="I256" s="90" t="s">
        <v>682</v>
      </c>
      <c r="J256" s="12" t="s">
        <v>23</v>
      </c>
      <c r="K256" s="257">
        <v>100</v>
      </c>
      <c r="L256" s="257">
        <v>100</v>
      </c>
      <c r="M256" s="13">
        <v>100</v>
      </c>
      <c r="N256" s="363">
        <f>M256/100</f>
        <v>1</v>
      </c>
      <c r="O256" s="289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  <c r="CW256" s="127"/>
      <c r="CX256" s="127"/>
      <c r="CY256" s="127"/>
      <c r="CZ256" s="127"/>
      <c r="DA256" s="127"/>
      <c r="DB256" s="127"/>
      <c r="DC256" s="127"/>
      <c r="DD256" s="127"/>
      <c r="DE256" s="127"/>
      <c r="DF256" s="127"/>
      <c r="DG256" s="127"/>
      <c r="DH256" s="127"/>
      <c r="DI256" s="127"/>
      <c r="DJ256" s="127"/>
      <c r="DK256" s="127"/>
      <c r="DL256" s="127"/>
      <c r="DM256" s="127"/>
      <c r="DN256" s="127"/>
      <c r="DO256" s="127"/>
      <c r="DP256" s="127"/>
      <c r="DQ256" s="127"/>
      <c r="DR256" s="127"/>
      <c r="DS256" s="127"/>
      <c r="DT256" s="127"/>
      <c r="DU256" s="127"/>
      <c r="DV256" s="127"/>
      <c r="DW256" s="127"/>
      <c r="DX256" s="127"/>
      <c r="DY256" s="127"/>
      <c r="DZ256" s="127"/>
      <c r="EA256" s="127"/>
      <c r="EB256" s="127"/>
      <c r="EC256" s="127"/>
      <c r="ED256" s="127"/>
      <c r="EE256" s="127"/>
      <c r="EF256" s="127"/>
      <c r="EG256" s="127"/>
      <c r="EH256" s="127"/>
      <c r="EI256" s="127"/>
      <c r="EJ256" s="127"/>
      <c r="EK256" s="127"/>
      <c r="EL256" s="127"/>
      <c r="EM256" s="127"/>
      <c r="EN256" s="127"/>
    </row>
    <row r="257" spans="1:145" s="14" customFormat="1" ht="69.75" customHeight="1">
      <c r="A257" s="9"/>
      <c r="B257" s="172" t="s">
        <v>401</v>
      </c>
      <c r="C257" s="90" t="s">
        <v>814</v>
      </c>
      <c r="D257" s="172" t="s">
        <v>549</v>
      </c>
      <c r="E257" s="766">
        <v>17862691.620000001</v>
      </c>
      <c r="F257" s="766">
        <v>17548569</v>
      </c>
      <c r="G257" s="362">
        <f>F257/E257*100</f>
        <v>98.241459760474768</v>
      </c>
      <c r="H257" s="445">
        <f>G257/100</f>
        <v>0.9824145976047477</v>
      </c>
      <c r="I257" s="90" t="s">
        <v>683</v>
      </c>
      <c r="J257" s="91" t="s">
        <v>12</v>
      </c>
      <c r="K257" s="269" t="s">
        <v>357</v>
      </c>
      <c r="L257" s="269">
        <v>84.89</v>
      </c>
      <c r="M257" s="92">
        <f>L257/90*100</f>
        <v>94.322222222222223</v>
      </c>
      <c r="N257" s="363">
        <f>M257/100</f>
        <v>0.94322222222222218</v>
      </c>
      <c r="O257" s="622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  <c r="CW257" s="127"/>
      <c r="CX257" s="127"/>
      <c r="CY257" s="127"/>
      <c r="CZ257" s="127"/>
      <c r="DA257" s="127"/>
      <c r="DB257" s="127"/>
      <c r="DC257" s="127"/>
      <c r="DD257" s="127"/>
      <c r="DE257" s="127"/>
      <c r="DF257" s="127"/>
      <c r="DG257" s="127"/>
      <c r="DH257" s="127"/>
      <c r="DI257" s="127"/>
      <c r="DJ257" s="127"/>
      <c r="DK257" s="127"/>
      <c r="DL257" s="127"/>
      <c r="DM257" s="127"/>
      <c r="DN257" s="127"/>
      <c r="DO257" s="127"/>
      <c r="DP257" s="127"/>
      <c r="DQ257" s="127"/>
      <c r="DR257" s="127"/>
      <c r="DS257" s="127"/>
      <c r="DT257" s="127"/>
      <c r="DU257" s="127"/>
      <c r="DV257" s="127"/>
      <c r="DW257" s="127"/>
      <c r="DX257" s="127"/>
      <c r="DY257" s="127"/>
      <c r="DZ257" s="127"/>
      <c r="EA257" s="127"/>
      <c r="EB257" s="127"/>
      <c r="EC257" s="127"/>
      <c r="ED257" s="127"/>
      <c r="EE257" s="127"/>
      <c r="EF257" s="127"/>
      <c r="EG257" s="127"/>
      <c r="EH257" s="127"/>
      <c r="EI257" s="127"/>
      <c r="EJ257" s="127"/>
      <c r="EK257" s="127"/>
      <c r="EL257" s="127"/>
      <c r="EM257" s="127"/>
      <c r="EN257" s="127"/>
    </row>
    <row r="258" spans="1:145" s="14" customFormat="1" ht="69.75" customHeight="1">
      <c r="A258" s="9"/>
      <c r="B258" s="172" t="s">
        <v>545</v>
      </c>
      <c r="C258" s="90" t="s">
        <v>816</v>
      </c>
      <c r="D258" s="172" t="s">
        <v>331</v>
      </c>
      <c r="E258" s="767">
        <v>2624300</v>
      </c>
      <c r="F258" s="767">
        <v>2624300</v>
      </c>
      <c r="G258" s="362">
        <f t="shared" ref="G258:G259" si="16">F258/E258*100</f>
        <v>100</v>
      </c>
      <c r="H258" s="445">
        <f t="shared" ref="H258:H259" si="17">G258/100</f>
        <v>1</v>
      </c>
      <c r="I258" s="90"/>
      <c r="J258" s="91"/>
      <c r="K258" s="269"/>
      <c r="L258" s="269"/>
      <c r="M258" s="92"/>
      <c r="N258" s="363"/>
      <c r="O258" s="622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  <c r="CW258" s="127"/>
      <c r="CX258" s="127"/>
      <c r="CY258" s="127"/>
      <c r="CZ258" s="127"/>
      <c r="DA258" s="127"/>
      <c r="DB258" s="127"/>
      <c r="DC258" s="127"/>
      <c r="DD258" s="127"/>
      <c r="DE258" s="127"/>
      <c r="DF258" s="127"/>
      <c r="DG258" s="127"/>
      <c r="DH258" s="127"/>
      <c r="DI258" s="127"/>
      <c r="DJ258" s="127"/>
      <c r="DK258" s="127"/>
      <c r="DL258" s="127"/>
      <c r="DM258" s="127"/>
      <c r="DN258" s="127"/>
      <c r="DO258" s="127"/>
      <c r="DP258" s="127"/>
      <c r="DQ258" s="127"/>
      <c r="DR258" s="127"/>
      <c r="DS258" s="127"/>
      <c r="DT258" s="127"/>
      <c r="DU258" s="127"/>
      <c r="DV258" s="127"/>
      <c r="DW258" s="127"/>
      <c r="DX258" s="127"/>
      <c r="DY258" s="127"/>
      <c r="DZ258" s="127"/>
      <c r="EA258" s="127"/>
      <c r="EB258" s="127"/>
      <c r="EC258" s="127"/>
      <c r="ED258" s="127"/>
      <c r="EE258" s="127"/>
      <c r="EF258" s="127"/>
      <c r="EG258" s="127"/>
      <c r="EH258" s="127"/>
      <c r="EI258" s="127"/>
      <c r="EJ258" s="127"/>
      <c r="EK258" s="127"/>
      <c r="EL258" s="127"/>
      <c r="EM258" s="127"/>
      <c r="EN258" s="127"/>
    </row>
    <row r="259" spans="1:145" s="14" customFormat="1" ht="69.75" customHeight="1">
      <c r="A259" s="9"/>
      <c r="B259" s="172" t="s">
        <v>817</v>
      </c>
      <c r="C259" s="90" t="s">
        <v>819</v>
      </c>
      <c r="D259" s="172" t="s">
        <v>331</v>
      </c>
      <c r="E259" s="767">
        <v>825400</v>
      </c>
      <c r="F259" s="767">
        <v>825400</v>
      </c>
      <c r="G259" s="362">
        <f t="shared" si="16"/>
        <v>100</v>
      </c>
      <c r="H259" s="445">
        <f t="shared" si="17"/>
        <v>1</v>
      </c>
      <c r="I259" s="90"/>
      <c r="J259" s="91"/>
      <c r="K259" s="269"/>
      <c r="L259" s="269"/>
      <c r="M259" s="92"/>
      <c r="N259" s="363"/>
      <c r="O259" s="622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  <c r="CW259" s="127"/>
      <c r="CX259" s="127"/>
      <c r="CY259" s="127"/>
      <c r="CZ259" s="127"/>
      <c r="DA259" s="127"/>
      <c r="DB259" s="127"/>
      <c r="DC259" s="127"/>
      <c r="DD259" s="127"/>
      <c r="DE259" s="127"/>
      <c r="DF259" s="127"/>
      <c r="DG259" s="127"/>
      <c r="DH259" s="127"/>
      <c r="DI259" s="127"/>
      <c r="DJ259" s="127"/>
      <c r="DK259" s="127"/>
      <c r="DL259" s="127"/>
      <c r="DM259" s="127"/>
      <c r="DN259" s="127"/>
      <c r="DO259" s="127"/>
      <c r="DP259" s="127"/>
      <c r="DQ259" s="127"/>
      <c r="DR259" s="127"/>
      <c r="DS259" s="127"/>
      <c r="DT259" s="127"/>
      <c r="DU259" s="127"/>
      <c r="DV259" s="127"/>
      <c r="DW259" s="127"/>
      <c r="DX259" s="127"/>
      <c r="DY259" s="127"/>
      <c r="DZ259" s="127"/>
      <c r="EA259" s="127"/>
      <c r="EB259" s="127"/>
      <c r="EC259" s="127"/>
      <c r="ED259" s="127"/>
      <c r="EE259" s="127"/>
      <c r="EF259" s="127"/>
      <c r="EG259" s="127"/>
      <c r="EH259" s="127"/>
      <c r="EI259" s="127"/>
      <c r="EJ259" s="127"/>
      <c r="EK259" s="127"/>
      <c r="EL259" s="127"/>
      <c r="EM259" s="127"/>
      <c r="EN259" s="127"/>
    </row>
    <row r="260" spans="1:145" s="14" customFormat="1" ht="65.25" customHeight="1">
      <c r="A260" s="9"/>
      <c r="B260" s="172" t="s">
        <v>818</v>
      </c>
      <c r="C260" s="90" t="s">
        <v>547</v>
      </c>
      <c r="D260" s="172" t="s">
        <v>331</v>
      </c>
      <c r="E260" s="766">
        <v>743730.57</v>
      </c>
      <c r="F260" s="766">
        <v>704312.81</v>
      </c>
      <c r="G260" s="362">
        <f>F260/E260*100</f>
        <v>94.699994649944287</v>
      </c>
      <c r="H260" s="445">
        <f>G260/100</f>
        <v>0.94699994649944286</v>
      </c>
      <c r="I260" s="19"/>
      <c r="J260" s="19"/>
      <c r="K260" s="19"/>
      <c r="L260" s="19"/>
      <c r="M260" s="19"/>
      <c r="N260" s="19"/>
      <c r="O260" s="53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  <c r="CW260" s="127"/>
      <c r="CX260" s="127"/>
      <c r="CY260" s="127"/>
      <c r="CZ260" s="127"/>
      <c r="DA260" s="127"/>
      <c r="DB260" s="127"/>
      <c r="DC260" s="127"/>
      <c r="DD260" s="127"/>
      <c r="DE260" s="127"/>
      <c r="DF260" s="127"/>
      <c r="DG260" s="127"/>
      <c r="DH260" s="127"/>
      <c r="DI260" s="127"/>
      <c r="DJ260" s="127"/>
      <c r="DK260" s="127"/>
      <c r="DL260" s="127"/>
      <c r="DM260" s="127"/>
      <c r="DN260" s="127"/>
      <c r="DO260" s="127"/>
      <c r="DP260" s="127"/>
      <c r="DQ260" s="127"/>
      <c r="DR260" s="127"/>
      <c r="DS260" s="127"/>
      <c r="DT260" s="127"/>
      <c r="DU260" s="127"/>
      <c r="DV260" s="127"/>
      <c r="DW260" s="127"/>
      <c r="DX260" s="127"/>
      <c r="DY260" s="127"/>
      <c r="DZ260" s="127"/>
      <c r="EA260" s="127"/>
      <c r="EB260" s="127"/>
      <c r="EC260" s="127"/>
      <c r="ED260" s="127"/>
      <c r="EE260" s="127"/>
      <c r="EF260" s="127"/>
      <c r="EG260" s="127"/>
      <c r="EH260" s="127"/>
      <c r="EI260" s="127"/>
      <c r="EJ260" s="127"/>
      <c r="EK260" s="127"/>
      <c r="EL260" s="127"/>
      <c r="EM260" s="127"/>
      <c r="EN260" s="127"/>
    </row>
    <row r="261" spans="1:145" s="14" customFormat="1" ht="34.5" customHeight="1">
      <c r="A261" s="9"/>
      <c r="B261" s="210"/>
      <c r="C261" s="243" t="s">
        <v>24</v>
      </c>
      <c r="D261" s="210"/>
      <c r="E261" s="315">
        <f>E255+E256+E257+E258+E259+E260</f>
        <v>29841841.670000002</v>
      </c>
      <c r="F261" s="315">
        <f>F255+F256+F257+F258+F259+F260</f>
        <v>29154100.68</v>
      </c>
      <c r="G261" s="518">
        <f>(G255+G256+G257+G260)/4</f>
        <v>94.459170434518938</v>
      </c>
      <c r="H261" s="519">
        <f>G261/100</f>
        <v>0.94459170434518935</v>
      </c>
      <c r="I261" s="243"/>
      <c r="J261" s="212"/>
      <c r="K261" s="279"/>
      <c r="L261" s="279"/>
      <c r="M261" s="211">
        <f>(M255+M256+M257)/3</f>
        <v>98.107407407407393</v>
      </c>
      <c r="N261" s="689">
        <f>(N255+N256+N257)/3</f>
        <v>0.9810740740740741</v>
      </c>
      <c r="O261" s="288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  <c r="CW261" s="127"/>
      <c r="CX261" s="127"/>
      <c r="CY261" s="127"/>
      <c r="CZ261" s="127"/>
      <c r="DA261" s="127"/>
      <c r="DB261" s="127"/>
      <c r="DC261" s="127"/>
      <c r="DD261" s="127"/>
      <c r="DE261" s="127"/>
      <c r="DF261" s="127"/>
      <c r="DG261" s="127"/>
      <c r="DH261" s="127"/>
      <c r="DI261" s="127"/>
      <c r="DJ261" s="127"/>
      <c r="DK261" s="127"/>
      <c r="DL261" s="127"/>
      <c r="DM261" s="127"/>
      <c r="DN261" s="127"/>
      <c r="DO261" s="127"/>
      <c r="DP261" s="127"/>
      <c r="DQ261" s="127"/>
      <c r="DR261" s="127"/>
      <c r="DS261" s="127"/>
      <c r="DT261" s="127"/>
      <c r="DU261" s="127"/>
      <c r="DV261" s="127"/>
      <c r="DW261" s="127"/>
      <c r="DX261" s="127"/>
      <c r="DY261" s="127"/>
      <c r="DZ261" s="127"/>
      <c r="EA261" s="127"/>
      <c r="EB261" s="127"/>
      <c r="EC261" s="127"/>
      <c r="ED261" s="127"/>
      <c r="EE261" s="127"/>
      <c r="EF261" s="127"/>
      <c r="EG261" s="127"/>
      <c r="EH261" s="127"/>
      <c r="EI261" s="127"/>
      <c r="EJ261" s="127"/>
      <c r="EK261" s="127"/>
      <c r="EL261" s="127"/>
      <c r="EM261" s="127"/>
      <c r="EN261" s="127"/>
    </row>
    <row r="262" spans="1:145" s="562" customFormat="1" ht="40.5" customHeight="1">
      <c r="B262" s="554"/>
      <c r="C262" s="563" t="s">
        <v>158</v>
      </c>
      <c r="D262" s="564"/>
      <c r="E262" s="565">
        <f>E261+E251</f>
        <v>38435371.689999998</v>
      </c>
      <c r="F262" s="565">
        <f>F261+F251</f>
        <v>31667223.329999998</v>
      </c>
      <c r="G262" s="495"/>
      <c r="H262" s="559"/>
      <c r="I262" s="892" t="s">
        <v>159</v>
      </c>
      <c r="J262" s="893"/>
      <c r="K262" s="893"/>
      <c r="L262" s="894"/>
      <c r="M262" s="586">
        <f>(M261+M251)/2</f>
        <v>109.88703703703703</v>
      </c>
      <c r="N262" s="566">
        <f>M262/100</f>
        <v>1.0988703703703704</v>
      </c>
      <c r="O262" s="491"/>
      <c r="P262" s="238"/>
      <c r="Q262" s="238"/>
      <c r="R262" s="238"/>
      <c r="S262" s="238"/>
      <c r="T262" s="238"/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8"/>
      <c r="AV262" s="238"/>
      <c r="AW262" s="238"/>
      <c r="AX262" s="238"/>
      <c r="AY262" s="238"/>
      <c r="AZ262" s="238"/>
      <c r="BA262" s="238"/>
      <c r="BB262" s="238"/>
      <c r="BC262" s="238"/>
      <c r="BD262" s="238"/>
      <c r="BE262" s="238"/>
      <c r="BF262" s="238"/>
      <c r="BG262" s="238"/>
      <c r="BH262" s="238"/>
      <c r="BI262" s="238"/>
      <c r="BJ262" s="238"/>
      <c r="BK262" s="238"/>
      <c r="BL262" s="238"/>
      <c r="BM262" s="238"/>
      <c r="BN262" s="238"/>
      <c r="BO262" s="238"/>
      <c r="BP262" s="238"/>
      <c r="BQ262" s="238"/>
      <c r="BR262" s="238"/>
      <c r="BS262" s="238"/>
      <c r="BT262" s="238"/>
      <c r="BU262" s="238"/>
      <c r="BV262" s="238"/>
      <c r="BW262" s="238"/>
      <c r="BX262" s="238"/>
      <c r="BY262" s="238"/>
      <c r="BZ262" s="238"/>
      <c r="CA262" s="238"/>
      <c r="CB262" s="238"/>
      <c r="CC262" s="238"/>
      <c r="CD262" s="238"/>
      <c r="CE262" s="238"/>
      <c r="CF262" s="238"/>
      <c r="CG262" s="238"/>
      <c r="CH262" s="238"/>
      <c r="CI262" s="238"/>
      <c r="CJ262" s="238"/>
      <c r="CK262" s="238"/>
      <c r="CL262" s="238"/>
      <c r="CM262" s="238"/>
      <c r="CN262" s="238"/>
      <c r="CO262" s="238"/>
      <c r="CP262" s="238"/>
      <c r="CQ262" s="238"/>
      <c r="CR262" s="238"/>
      <c r="CS262" s="238"/>
      <c r="CT262" s="238"/>
      <c r="CU262" s="238"/>
      <c r="CV262" s="238"/>
      <c r="CW262" s="238"/>
      <c r="CX262" s="238"/>
      <c r="CY262" s="238"/>
      <c r="CZ262" s="238"/>
      <c r="DA262" s="238"/>
      <c r="DB262" s="238"/>
      <c r="DC262" s="238"/>
      <c r="DD262" s="238"/>
      <c r="DE262" s="238"/>
      <c r="DF262" s="238"/>
      <c r="DG262" s="238"/>
      <c r="DH262" s="238"/>
      <c r="DI262" s="238"/>
      <c r="DJ262" s="238"/>
      <c r="DK262" s="238"/>
      <c r="DL262" s="238"/>
      <c r="DM262" s="238"/>
      <c r="DN262" s="238"/>
      <c r="DO262" s="238"/>
      <c r="DP262" s="238"/>
      <c r="DQ262" s="238"/>
      <c r="DR262" s="238"/>
      <c r="DS262" s="238"/>
      <c r="DT262" s="238"/>
      <c r="DU262" s="238"/>
      <c r="DV262" s="238"/>
      <c r="DW262" s="238"/>
      <c r="DX262" s="238"/>
      <c r="DY262" s="238"/>
      <c r="DZ262" s="238"/>
      <c r="EA262" s="238"/>
      <c r="EB262" s="238"/>
      <c r="EC262" s="238"/>
      <c r="ED262" s="238"/>
      <c r="EE262" s="238"/>
      <c r="EF262" s="238"/>
      <c r="EG262" s="238"/>
      <c r="EH262" s="238"/>
      <c r="EI262" s="238"/>
      <c r="EJ262" s="238"/>
      <c r="EK262" s="238"/>
      <c r="EL262" s="238"/>
      <c r="EM262" s="238"/>
      <c r="EN262" s="238"/>
      <c r="EO262" s="567"/>
    </row>
    <row r="263" spans="1:145" s="127" customFormat="1" ht="34.5" customHeight="1">
      <c r="B263" s="520"/>
      <c r="C263" s="162" t="s">
        <v>516</v>
      </c>
      <c r="D263" s="500" t="s">
        <v>532</v>
      </c>
      <c r="E263" s="522">
        <v>0</v>
      </c>
      <c r="F263" s="522">
        <v>0</v>
      </c>
      <c r="G263" s="429"/>
      <c r="H263" s="437"/>
      <c r="I263" s="398"/>
      <c r="J263" s="398"/>
      <c r="K263" s="280"/>
      <c r="L263" s="280"/>
      <c r="M263" s="116"/>
      <c r="N263" s="521"/>
      <c r="O263" s="288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</row>
    <row r="264" spans="1:145" s="127" customFormat="1" ht="32.25" customHeight="1">
      <c r="B264" s="520"/>
      <c r="C264" s="162" t="s">
        <v>517</v>
      </c>
      <c r="D264" s="500" t="s">
        <v>329</v>
      </c>
      <c r="E264" s="590">
        <f>62791635.49</f>
        <v>62791635.490000002</v>
      </c>
      <c r="F264" s="590">
        <f>62791635.49</f>
        <v>62791635.490000002</v>
      </c>
      <c r="G264" s="429"/>
      <c r="H264" s="437"/>
      <c r="I264" s="398"/>
      <c r="J264" s="398"/>
      <c r="K264" s="280"/>
      <c r="L264" s="280"/>
      <c r="M264" s="116"/>
      <c r="N264" s="521"/>
      <c r="O264" s="288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</row>
    <row r="265" spans="1:145" s="127" customFormat="1" ht="33.75" customHeight="1">
      <c r="B265" s="520"/>
      <c r="C265" s="162" t="s">
        <v>518</v>
      </c>
      <c r="D265" s="500" t="s">
        <v>521</v>
      </c>
      <c r="E265" s="522">
        <f>28804016.64</f>
        <v>28804016.640000001</v>
      </c>
      <c r="F265" s="522">
        <f>28047943.25</f>
        <v>28047943.25</v>
      </c>
      <c r="G265" s="429"/>
      <c r="H265" s="437"/>
      <c r="I265" s="398"/>
      <c r="J265" s="398"/>
      <c r="K265" s="280"/>
      <c r="L265" s="280"/>
      <c r="M265" s="116"/>
      <c r="N265" s="521"/>
      <c r="O265" s="288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</row>
    <row r="266" spans="1:145" s="127" customFormat="1" ht="36" customHeight="1">
      <c r="B266" s="520"/>
      <c r="C266" s="162" t="s">
        <v>519</v>
      </c>
      <c r="D266" s="500" t="s">
        <v>550</v>
      </c>
      <c r="E266" s="522">
        <f>97961780.7</f>
        <v>97961780.700000003</v>
      </c>
      <c r="F266" s="522">
        <f>78369110.96</f>
        <v>78369110.959999993</v>
      </c>
      <c r="G266" s="429"/>
      <c r="H266" s="437"/>
      <c r="I266" s="398"/>
      <c r="J266" s="398"/>
      <c r="K266" s="280"/>
      <c r="L266" s="280"/>
      <c r="M266" s="116"/>
      <c r="N266" s="521"/>
      <c r="O266" s="288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</row>
    <row r="267" spans="1:145" s="165" customFormat="1" ht="49.5" customHeight="1">
      <c r="B267" s="166"/>
      <c r="C267" s="820" t="s">
        <v>684</v>
      </c>
      <c r="D267" s="836"/>
      <c r="E267" s="836"/>
      <c r="F267" s="836"/>
      <c r="G267" s="836"/>
      <c r="H267" s="836"/>
      <c r="I267" s="836"/>
      <c r="J267" s="836"/>
      <c r="K267" s="836"/>
      <c r="L267" s="836"/>
      <c r="M267" s="836"/>
      <c r="N267" s="837"/>
      <c r="O267" s="288"/>
      <c r="P267" s="382"/>
      <c r="Q267" s="382"/>
      <c r="R267" s="382"/>
      <c r="S267" s="382"/>
      <c r="T267" s="382"/>
      <c r="U267" s="382"/>
      <c r="V267" s="382"/>
      <c r="W267" s="382"/>
      <c r="X267" s="355"/>
      <c r="Y267" s="355"/>
      <c r="Z267" s="355"/>
      <c r="AA267" s="355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7"/>
      <c r="CE267" s="127"/>
      <c r="CF267" s="127"/>
      <c r="CG267" s="127"/>
      <c r="CH267" s="127"/>
      <c r="CI267" s="127"/>
      <c r="CJ267" s="127"/>
      <c r="CK267" s="127"/>
      <c r="CL267" s="127"/>
      <c r="CM267" s="127"/>
      <c r="CN267" s="127"/>
      <c r="CO267" s="127"/>
      <c r="CP267" s="127"/>
      <c r="CQ267" s="127"/>
      <c r="CR267" s="127"/>
      <c r="CS267" s="127"/>
      <c r="CT267" s="127"/>
      <c r="CU267" s="127"/>
      <c r="CV267" s="127"/>
      <c r="CW267" s="127"/>
      <c r="CX267" s="127"/>
      <c r="CY267" s="127"/>
      <c r="CZ267" s="127"/>
      <c r="DA267" s="127"/>
      <c r="DB267" s="127"/>
      <c r="DC267" s="127"/>
      <c r="DD267" s="127"/>
      <c r="DE267" s="127"/>
      <c r="DF267" s="127"/>
      <c r="DG267" s="127"/>
      <c r="DH267" s="127"/>
      <c r="DI267" s="127"/>
      <c r="DJ267" s="127"/>
      <c r="DK267" s="127"/>
      <c r="DL267" s="127"/>
      <c r="DM267" s="127"/>
      <c r="DN267" s="127"/>
      <c r="DO267" s="127"/>
      <c r="DP267" s="127"/>
      <c r="DQ267" s="127"/>
      <c r="DR267" s="127"/>
      <c r="DS267" s="127"/>
      <c r="DT267" s="127"/>
      <c r="DU267" s="127"/>
      <c r="DV267" s="127"/>
      <c r="DW267" s="127"/>
      <c r="DX267" s="127"/>
      <c r="DY267" s="127"/>
      <c r="DZ267" s="127"/>
      <c r="EA267" s="127"/>
      <c r="EB267" s="127"/>
      <c r="EC267" s="127"/>
      <c r="ED267" s="127"/>
      <c r="EE267" s="127"/>
      <c r="EF267" s="127"/>
      <c r="EG267" s="127"/>
      <c r="EH267" s="127"/>
      <c r="EI267" s="127"/>
      <c r="EJ267" s="127"/>
      <c r="EK267" s="127"/>
      <c r="EL267" s="127"/>
      <c r="EM267" s="127"/>
      <c r="EN267" s="127"/>
    </row>
    <row r="268" spans="1:145" s="14" customFormat="1" ht="38.25" hidden="1" customHeight="1">
      <c r="A268" s="9"/>
      <c r="B268" s="35"/>
      <c r="C268" s="319" t="s">
        <v>143</v>
      </c>
      <c r="D268" s="10"/>
      <c r="E268" s="298"/>
      <c r="F268" s="298"/>
      <c r="G268" s="366"/>
      <c r="H268" s="399"/>
      <c r="I268" s="319"/>
      <c r="J268" s="12"/>
      <c r="K268" s="257"/>
      <c r="L268" s="257"/>
      <c r="M268" s="12"/>
      <c r="N268" s="396"/>
      <c r="O268" s="288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/>
      <c r="CD268" s="127"/>
      <c r="CE268" s="127"/>
      <c r="CF268" s="127"/>
      <c r="CG268" s="127"/>
      <c r="CH268" s="127"/>
      <c r="CI268" s="127"/>
      <c r="CJ268" s="127"/>
      <c r="CK268" s="127"/>
      <c r="CL268" s="127"/>
      <c r="CM268" s="127"/>
      <c r="CN268" s="127"/>
      <c r="CO268" s="127"/>
      <c r="CP268" s="127"/>
      <c r="CQ268" s="127"/>
      <c r="CR268" s="127"/>
      <c r="CS268" s="127"/>
      <c r="CT268" s="127"/>
      <c r="CU268" s="127"/>
      <c r="CV268" s="127"/>
      <c r="CW268" s="127"/>
      <c r="CX268" s="127"/>
      <c r="CY268" s="127"/>
      <c r="CZ268" s="127"/>
      <c r="DA268" s="127"/>
      <c r="DB268" s="127"/>
      <c r="DC268" s="127"/>
      <c r="DD268" s="127"/>
      <c r="DE268" s="127"/>
      <c r="DF268" s="127"/>
      <c r="DG268" s="127"/>
      <c r="DH268" s="127"/>
      <c r="DI268" s="127"/>
      <c r="DJ268" s="127"/>
      <c r="DK268" s="127"/>
      <c r="DL268" s="127"/>
      <c r="DM268" s="127"/>
      <c r="DN268" s="127"/>
      <c r="DO268" s="127"/>
      <c r="DP268" s="127"/>
      <c r="DQ268" s="127"/>
      <c r="DR268" s="127"/>
      <c r="DS268" s="127"/>
      <c r="DT268" s="127"/>
      <c r="DU268" s="127"/>
      <c r="DV268" s="127"/>
      <c r="DW268" s="127"/>
      <c r="DX268" s="127"/>
      <c r="DY268" s="127"/>
      <c r="DZ268" s="127"/>
      <c r="EA268" s="127"/>
      <c r="EB268" s="127"/>
      <c r="EC268" s="127"/>
      <c r="ED268" s="127"/>
      <c r="EE268" s="127"/>
      <c r="EF268" s="127"/>
      <c r="EG268" s="127"/>
      <c r="EH268" s="127"/>
      <c r="EI268" s="127"/>
      <c r="EJ268" s="127"/>
      <c r="EK268" s="127"/>
      <c r="EL268" s="127"/>
      <c r="EM268" s="127"/>
      <c r="EN268" s="127"/>
    </row>
    <row r="269" spans="1:145" s="14" customFormat="1" ht="38.25" hidden="1" customHeight="1">
      <c r="A269" s="9"/>
      <c r="B269" s="35" t="s">
        <v>144</v>
      </c>
      <c r="C269" s="319" t="s">
        <v>145</v>
      </c>
      <c r="D269" s="10" t="s">
        <v>15</v>
      </c>
      <c r="E269" s="298">
        <v>372</v>
      </c>
      <c r="F269" s="298">
        <v>372</v>
      </c>
      <c r="G269" s="366">
        <f>F269/E269*100</f>
        <v>100</v>
      </c>
      <c r="H269" s="399"/>
      <c r="I269" s="319" t="s">
        <v>146</v>
      </c>
      <c r="J269" s="12" t="s">
        <v>12</v>
      </c>
      <c r="K269" s="257">
        <v>100</v>
      </c>
      <c r="L269" s="257">
        <v>100</v>
      </c>
      <c r="M269" s="12">
        <f>L269/K269</f>
        <v>1</v>
      </c>
      <c r="N269" s="396"/>
      <c r="O269" s="288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  <c r="CW269" s="127"/>
      <c r="CX269" s="127"/>
      <c r="CY269" s="127"/>
      <c r="CZ269" s="127"/>
      <c r="DA269" s="127"/>
      <c r="DB269" s="127"/>
      <c r="DC269" s="127"/>
      <c r="DD269" s="127"/>
      <c r="DE269" s="127"/>
      <c r="DF269" s="127"/>
      <c r="DG269" s="127"/>
      <c r="DH269" s="127"/>
      <c r="DI269" s="127"/>
      <c r="DJ269" s="127"/>
      <c r="DK269" s="127"/>
      <c r="DL269" s="127"/>
      <c r="DM269" s="127"/>
      <c r="DN269" s="127"/>
      <c r="DO269" s="127"/>
      <c r="DP269" s="127"/>
      <c r="DQ269" s="127"/>
      <c r="DR269" s="127"/>
      <c r="DS269" s="127"/>
      <c r="DT269" s="127"/>
      <c r="DU269" s="127"/>
      <c r="DV269" s="127"/>
      <c r="DW269" s="127"/>
      <c r="DX269" s="127"/>
      <c r="DY269" s="127"/>
      <c r="DZ269" s="127"/>
      <c r="EA269" s="127"/>
      <c r="EB269" s="127"/>
      <c r="EC269" s="127"/>
      <c r="ED269" s="127"/>
      <c r="EE269" s="127"/>
      <c r="EF269" s="127"/>
      <c r="EG269" s="127"/>
      <c r="EH269" s="127"/>
      <c r="EI269" s="127"/>
      <c r="EJ269" s="127"/>
      <c r="EK269" s="127"/>
      <c r="EL269" s="127"/>
      <c r="EM269" s="127"/>
      <c r="EN269" s="127"/>
    </row>
    <row r="270" spans="1:145" s="14" customFormat="1" ht="51" hidden="1" customHeight="1">
      <c r="A270" s="9"/>
      <c r="B270" s="35" t="s">
        <v>147</v>
      </c>
      <c r="C270" s="319" t="s">
        <v>148</v>
      </c>
      <c r="D270" s="10" t="s">
        <v>15</v>
      </c>
      <c r="E270" s="298">
        <v>695</v>
      </c>
      <c r="F270" s="298">
        <v>657.89300000000003</v>
      </c>
      <c r="G270" s="366">
        <f>F270/E270*100</f>
        <v>94.660863309352521</v>
      </c>
      <c r="H270" s="399"/>
      <c r="I270" s="319"/>
      <c r="J270" s="12"/>
      <c r="K270" s="257"/>
      <c r="L270" s="257"/>
      <c r="M270" s="12"/>
      <c r="N270" s="396"/>
      <c r="O270" s="288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  <c r="CW270" s="127"/>
      <c r="CX270" s="127"/>
      <c r="CY270" s="127"/>
      <c r="CZ270" s="127"/>
      <c r="DA270" s="127"/>
      <c r="DB270" s="127"/>
      <c r="DC270" s="127"/>
      <c r="DD270" s="127"/>
      <c r="DE270" s="127"/>
      <c r="DF270" s="127"/>
      <c r="DG270" s="127"/>
      <c r="DH270" s="127"/>
      <c r="DI270" s="127"/>
      <c r="DJ270" s="127"/>
      <c r="DK270" s="127"/>
      <c r="DL270" s="127"/>
      <c r="DM270" s="127"/>
      <c r="DN270" s="127"/>
      <c r="DO270" s="127"/>
      <c r="DP270" s="127"/>
      <c r="DQ270" s="127"/>
      <c r="DR270" s="127"/>
      <c r="DS270" s="127"/>
      <c r="DT270" s="127"/>
      <c r="DU270" s="127"/>
      <c r="DV270" s="127"/>
      <c r="DW270" s="127"/>
      <c r="DX270" s="127"/>
      <c r="DY270" s="127"/>
      <c r="DZ270" s="127"/>
      <c r="EA270" s="127"/>
      <c r="EB270" s="127"/>
      <c r="EC270" s="127"/>
      <c r="ED270" s="127"/>
      <c r="EE270" s="127"/>
      <c r="EF270" s="127"/>
      <c r="EG270" s="127"/>
      <c r="EH270" s="127"/>
      <c r="EI270" s="127"/>
      <c r="EJ270" s="127"/>
      <c r="EK270" s="127"/>
      <c r="EL270" s="127"/>
      <c r="EM270" s="127"/>
      <c r="EN270" s="127"/>
    </row>
    <row r="271" spans="1:145" s="14" customFormat="1" ht="15.75" hidden="1" customHeight="1">
      <c r="A271" s="9">
        <f>E271-F271</f>
        <v>37.106999999999971</v>
      </c>
      <c r="B271" s="10"/>
      <c r="C271" s="159" t="s">
        <v>74</v>
      </c>
      <c r="D271" s="41"/>
      <c r="E271" s="310">
        <f>SUM(E269:E270)</f>
        <v>1067</v>
      </c>
      <c r="F271" s="310">
        <f>SUM(F269:F270)</f>
        <v>1029.893</v>
      </c>
      <c r="G271" s="366">
        <f>F271/E271*100</f>
        <v>96.522305529522029</v>
      </c>
      <c r="H271" s="399" t="e">
        <f>#REF!/G271*100</f>
        <v>#REF!</v>
      </c>
      <c r="I271" s="16"/>
      <c r="J271" s="17"/>
      <c r="K271" s="272"/>
      <c r="L271" s="272"/>
      <c r="M271" s="17">
        <f>M269/1</f>
        <v>1</v>
      </c>
      <c r="N271" s="460" t="e">
        <f>M271*0.4+H271*0.4+'[1]Внесение изменений'!H7*0.2</f>
        <v>#REF!</v>
      </c>
      <c r="O271" s="288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/>
      <c r="CD271" s="127"/>
      <c r="CE271" s="127"/>
      <c r="CF271" s="127"/>
      <c r="CG271" s="127"/>
      <c r="CH271" s="127"/>
      <c r="CI271" s="127"/>
      <c r="CJ271" s="127"/>
      <c r="CK271" s="127"/>
      <c r="CL271" s="127"/>
      <c r="CM271" s="127"/>
      <c r="CN271" s="127"/>
      <c r="CO271" s="127"/>
      <c r="CP271" s="127"/>
      <c r="CQ271" s="127"/>
      <c r="CR271" s="127"/>
      <c r="CS271" s="127"/>
      <c r="CT271" s="127"/>
      <c r="CU271" s="127"/>
      <c r="CV271" s="127"/>
      <c r="CW271" s="127"/>
      <c r="CX271" s="127"/>
      <c r="CY271" s="127"/>
      <c r="CZ271" s="127"/>
      <c r="DA271" s="127"/>
      <c r="DB271" s="127"/>
      <c r="DC271" s="127"/>
      <c r="DD271" s="127"/>
      <c r="DE271" s="127"/>
      <c r="DF271" s="127"/>
      <c r="DG271" s="127"/>
      <c r="DH271" s="127"/>
      <c r="DI271" s="127"/>
      <c r="DJ271" s="127"/>
      <c r="DK271" s="127"/>
      <c r="DL271" s="127"/>
      <c r="DM271" s="127"/>
      <c r="DN271" s="127"/>
      <c r="DO271" s="127"/>
      <c r="DP271" s="127"/>
      <c r="DQ271" s="127"/>
      <c r="DR271" s="127"/>
      <c r="DS271" s="127"/>
      <c r="DT271" s="127"/>
      <c r="DU271" s="127"/>
      <c r="DV271" s="127"/>
      <c r="DW271" s="127"/>
      <c r="DX271" s="127"/>
      <c r="DY271" s="127"/>
      <c r="DZ271" s="127"/>
      <c r="EA271" s="127"/>
      <c r="EB271" s="127"/>
      <c r="EC271" s="127"/>
      <c r="ED271" s="127"/>
      <c r="EE271" s="127"/>
      <c r="EF271" s="127"/>
      <c r="EG271" s="127"/>
      <c r="EH271" s="127"/>
      <c r="EI271" s="127"/>
      <c r="EJ271" s="127"/>
      <c r="EK271" s="127"/>
      <c r="EL271" s="127"/>
      <c r="EM271" s="127"/>
      <c r="EN271" s="127"/>
    </row>
    <row r="272" spans="1:145" ht="18.75" hidden="1" customHeight="1">
      <c r="A272" s="7"/>
      <c r="B272" s="18"/>
      <c r="C272" s="805" t="s">
        <v>149</v>
      </c>
      <c r="D272" s="806"/>
      <c r="E272" s="806"/>
      <c r="F272" s="806"/>
      <c r="G272" s="806"/>
      <c r="H272" s="806"/>
      <c r="I272" s="806"/>
      <c r="J272" s="806"/>
      <c r="K272" s="806"/>
      <c r="L272" s="806"/>
      <c r="M272" s="806"/>
      <c r="N272" s="807"/>
    </row>
    <row r="273" spans="1:144" ht="18.75" hidden="1" customHeight="1">
      <c r="A273" s="7"/>
      <c r="B273" s="18"/>
      <c r="C273" s="805" t="s">
        <v>150</v>
      </c>
      <c r="D273" s="806"/>
      <c r="E273" s="806"/>
      <c r="F273" s="806"/>
      <c r="G273" s="806"/>
      <c r="H273" s="806"/>
      <c r="I273" s="806"/>
      <c r="J273" s="806"/>
      <c r="K273" s="806"/>
      <c r="L273" s="806"/>
      <c r="M273" s="806"/>
      <c r="N273" s="807"/>
    </row>
    <row r="274" spans="1:144" ht="15" hidden="1" customHeight="1">
      <c r="A274" s="7"/>
      <c r="B274" s="8"/>
      <c r="C274" s="785" t="s">
        <v>151</v>
      </c>
      <c r="D274" s="786"/>
      <c r="E274" s="786"/>
      <c r="F274" s="786"/>
      <c r="G274" s="786"/>
      <c r="H274" s="786"/>
      <c r="I274" s="786"/>
      <c r="J274" s="786"/>
      <c r="K274" s="786"/>
      <c r="L274" s="786"/>
      <c r="M274" s="786"/>
      <c r="N274" s="787"/>
    </row>
    <row r="275" spans="1:144" ht="15" hidden="1" customHeight="1">
      <c r="A275" s="7"/>
      <c r="B275" s="8"/>
      <c r="C275" s="785" t="s">
        <v>152</v>
      </c>
      <c r="D275" s="786"/>
      <c r="E275" s="786"/>
      <c r="F275" s="786"/>
      <c r="G275" s="786"/>
      <c r="H275" s="786"/>
      <c r="I275" s="786"/>
      <c r="J275" s="786"/>
      <c r="K275" s="786"/>
      <c r="L275" s="786"/>
      <c r="M275" s="786"/>
      <c r="N275" s="787"/>
    </row>
    <row r="276" spans="1:144" s="14" customFormat="1" ht="25.5" hidden="1" customHeight="1">
      <c r="A276" s="9"/>
      <c r="B276" s="35" t="s">
        <v>153</v>
      </c>
      <c r="C276" s="319" t="s">
        <v>154</v>
      </c>
      <c r="D276" s="406" t="s">
        <v>15</v>
      </c>
      <c r="E276" s="298">
        <v>3811.663</v>
      </c>
      <c r="F276" s="298">
        <v>3811.663</v>
      </c>
      <c r="G276" s="366">
        <f>F276/E276*100</f>
        <v>100</v>
      </c>
      <c r="H276" s="399"/>
      <c r="I276" s="319" t="s">
        <v>155</v>
      </c>
      <c r="J276" s="12" t="s">
        <v>12</v>
      </c>
      <c r="K276" s="257">
        <v>3</v>
      </c>
      <c r="L276" s="257">
        <v>3</v>
      </c>
      <c r="M276" s="12">
        <v>1</v>
      </c>
      <c r="N276" s="396"/>
      <c r="O276" s="288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7"/>
      <c r="CC276" s="127"/>
      <c r="CD276" s="127"/>
      <c r="CE276" s="127"/>
      <c r="CF276" s="127"/>
      <c r="CG276" s="127"/>
      <c r="CH276" s="127"/>
      <c r="CI276" s="127"/>
      <c r="CJ276" s="127"/>
      <c r="CK276" s="127"/>
      <c r="CL276" s="127"/>
      <c r="CM276" s="127"/>
      <c r="CN276" s="127"/>
      <c r="CO276" s="127"/>
      <c r="CP276" s="127"/>
      <c r="CQ276" s="127"/>
      <c r="CR276" s="127"/>
      <c r="CS276" s="127"/>
      <c r="CT276" s="127"/>
      <c r="CU276" s="127"/>
      <c r="CV276" s="127"/>
      <c r="CW276" s="127"/>
      <c r="CX276" s="127"/>
      <c r="CY276" s="127"/>
      <c r="CZ276" s="127"/>
      <c r="DA276" s="127"/>
      <c r="DB276" s="127"/>
      <c r="DC276" s="127"/>
      <c r="DD276" s="127"/>
      <c r="DE276" s="127"/>
      <c r="DF276" s="127"/>
      <c r="DG276" s="127"/>
      <c r="DH276" s="127"/>
      <c r="DI276" s="127"/>
      <c r="DJ276" s="127"/>
      <c r="DK276" s="127"/>
      <c r="DL276" s="127"/>
      <c r="DM276" s="127"/>
      <c r="DN276" s="127"/>
      <c r="DO276" s="127"/>
      <c r="DP276" s="127"/>
      <c r="DQ276" s="127"/>
      <c r="DR276" s="127"/>
      <c r="DS276" s="127"/>
      <c r="DT276" s="127"/>
      <c r="DU276" s="127"/>
      <c r="DV276" s="127"/>
      <c r="DW276" s="127"/>
      <c r="DX276" s="127"/>
      <c r="DY276" s="127"/>
      <c r="DZ276" s="127"/>
      <c r="EA276" s="127"/>
      <c r="EB276" s="127"/>
      <c r="EC276" s="127"/>
      <c r="ED276" s="127"/>
      <c r="EE276" s="127"/>
      <c r="EF276" s="127"/>
      <c r="EG276" s="127"/>
      <c r="EH276" s="127"/>
      <c r="EI276" s="127"/>
      <c r="EJ276" s="127"/>
      <c r="EK276" s="127"/>
      <c r="EL276" s="127"/>
      <c r="EM276" s="127"/>
      <c r="EN276" s="127"/>
    </row>
    <row r="277" spans="1:144" s="14" customFormat="1" ht="16.5" hidden="1" customHeight="1">
      <c r="A277" s="9"/>
      <c r="B277" s="41"/>
      <c r="C277" s="159" t="s">
        <v>156</v>
      </c>
      <c r="D277" s="41"/>
      <c r="E277" s="310">
        <f>E276</f>
        <v>3811.663</v>
      </c>
      <c r="F277" s="310">
        <f>F276</f>
        <v>3811.663</v>
      </c>
      <c r="G277" s="366">
        <f>F277/E277*100</f>
        <v>100</v>
      </c>
      <c r="H277" s="399" t="e">
        <f>#REF!/G277*100</f>
        <v>#REF!</v>
      </c>
      <c r="I277" s="16"/>
      <c r="J277" s="17"/>
      <c r="K277" s="272"/>
      <c r="L277" s="272"/>
      <c r="M277" s="25">
        <f>M276/1</f>
        <v>1</v>
      </c>
      <c r="N277" s="459" t="e">
        <f>M277/H277</f>
        <v>#REF!</v>
      </c>
      <c r="O277" s="288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7"/>
      <c r="CC277" s="127"/>
      <c r="CD277" s="127"/>
      <c r="CE277" s="127"/>
      <c r="CF277" s="127"/>
      <c r="CG277" s="127"/>
      <c r="CH277" s="127"/>
      <c r="CI277" s="127"/>
      <c r="CJ277" s="127"/>
      <c r="CK277" s="127"/>
      <c r="CL277" s="127"/>
      <c r="CM277" s="127"/>
      <c r="CN277" s="127"/>
      <c r="CO277" s="127"/>
      <c r="CP277" s="127"/>
      <c r="CQ277" s="127"/>
      <c r="CR277" s="127"/>
      <c r="CS277" s="127"/>
      <c r="CT277" s="127"/>
      <c r="CU277" s="127"/>
      <c r="CV277" s="127"/>
      <c r="CW277" s="127"/>
      <c r="CX277" s="127"/>
      <c r="CY277" s="127"/>
      <c r="CZ277" s="127"/>
      <c r="DA277" s="127"/>
      <c r="DB277" s="127"/>
      <c r="DC277" s="127"/>
      <c r="DD277" s="127"/>
      <c r="DE277" s="127"/>
      <c r="DF277" s="127"/>
      <c r="DG277" s="127"/>
      <c r="DH277" s="127"/>
      <c r="DI277" s="127"/>
      <c r="DJ277" s="127"/>
      <c r="DK277" s="127"/>
      <c r="DL277" s="127"/>
      <c r="DM277" s="127"/>
      <c r="DN277" s="127"/>
      <c r="DO277" s="127"/>
      <c r="DP277" s="127"/>
      <c r="DQ277" s="127"/>
      <c r="DR277" s="127"/>
      <c r="DS277" s="127"/>
      <c r="DT277" s="127"/>
      <c r="DU277" s="127"/>
      <c r="DV277" s="127"/>
      <c r="DW277" s="127"/>
      <c r="DX277" s="127"/>
      <c r="DY277" s="127"/>
      <c r="DZ277" s="127"/>
      <c r="EA277" s="127"/>
      <c r="EB277" s="127"/>
      <c r="EC277" s="127"/>
      <c r="ED277" s="127"/>
      <c r="EE277" s="127"/>
      <c r="EF277" s="127"/>
      <c r="EG277" s="127"/>
      <c r="EH277" s="127"/>
      <c r="EI277" s="127"/>
      <c r="EJ277" s="127"/>
      <c r="EK277" s="127"/>
      <c r="EL277" s="127"/>
      <c r="EM277" s="127"/>
      <c r="EN277" s="127"/>
    </row>
    <row r="278" spans="1:144" ht="44.25" hidden="1" customHeight="1">
      <c r="A278" s="7"/>
      <c r="B278" s="18"/>
      <c r="C278" s="805" t="s">
        <v>157</v>
      </c>
      <c r="D278" s="806"/>
      <c r="E278" s="806"/>
      <c r="F278" s="806"/>
      <c r="G278" s="806"/>
      <c r="H278" s="806"/>
      <c r="I278" s="806"/>
      <c r="J278" s="806"/>
      <c r="K278" s="806"/>
      <c r="L278" s="806"/>
      <c r="M278" s="806"/>
      <c r="N278" s="807"/>
    </row>
    <row r="279" spans="1:144" s="23" customFormat="1" ht="19.5" hidden="1" customHeight="1">
      <c r="A279" s="20" t="e">
        <f>F279/F464*100</f>
        <v>#REF!</v>
      </c>
      <c r="B279" s="30"/>
      <c r="C279" s="158" t="s">
        <v>158</v>
      </c>
      <c r="D279" s="30"/>
      <c r="E279" s="306" t="e">
        <f>E277+E271+#REF!+#REF!+E253+E237</f>
        <v>#REF!</v>
      </c>
      <c r="F279" s="306" t="e">
        <f>F277+F271+#REF!+#REF!+F253+F237</f>
        <v>#REF!</v>
      </c>
      <c r="G279" s="366" t="e">
        <f>F279/E279*100</f>
        <v>#REF!</v>
      </c>
      <c r="H279" s="442" t="e">
        <f>#REF!/G279*100</f>
        <v>#REF!</v>
      </c>
      <c r="I279" s="877" t="s">
        <v>159</v>
      </c>
      <c r="J279" s="878"/>
      <c r="K279" s="878"/>
      <c r="L279" s="891"/>
      <c r="M279" s="33" t="e">
        <f>(M276+M269+#REF!+M256+#REF!+M247+M245+M241+M231+M226+M225+M224+M211+M208+M207+M206+M205+#REF!+#REF!)/19</f>
        <v>#REF!</v>
      </c>
      <c r="N279" s="470" t="e">
        <f>M279*0.4+H279*0.4+'[1]Внесение изменений'!H7*0.2</f>
        <v>#REF!</v>
      </c>
      <c r="O279" s="28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72"/>
      <c r="BC279" s="72"/>
      <c r="BD279" s="72"/>
      <c r="BE279" s="72"/>
      <c r="BF279" s="72"/>
      <c r="BG279" s="72"/>
      <c r="BH279" s="72"/>
      <c r="BI279" s="72"/>
      <c r="BJ279" s="72"/>
      <c r="BK279" s="72"/>
      <c r="BL279" s="72"/>
      <c r="BM279" s="72"/>
      <c r="BN279" s="72"/>
      <c r="BO279" s="72"/>
      <c r="BP279" s="72"/>
      <c r="BQ279" s="72"/>
      <c r="BR279" s="72"/>
      <c r="BS279" s="72"/>
      <c r="BT279" s="72"/>
      <c r="BU279" s="72"/>
      <c r="BV279" s="72"/>
      <c r="BW279" s="72"/>
      <c r="BX279" s="72"/>
      <c r="BY279" s="72"/>
      <c r="BZ279" s="72"/>
      <c r="CA279" s="72"/>
      <c r="CB279" s="72"/>
      <c r="CC279" s="72"/>
      <c r="CD279" s="72"/>
      <c r="CE279" s="72"/>
      <c r="CF279" s="72"/>
      <c r="CG279" s="72"/>
      <c r="CH279" s="72"/>
      <c r="CI279" s="72"/>
      <c r="CJ279" s="72"/>
      <c r="CK279" s="72"/>
      <c r="CL279" s="72"/>
      <c r="CM279" s="72"/>
      <c r="CN279" s="72"/>
      <c r="CO279" s="72"/>
      <c r="CP279" s="72"/>
      <c r="CQ279" s="72"/>
      <c r="CR279" s="72"/>
      <c r="CS279" s="72"/>
      <c r="CT279" s="72"/>
      <c r="CU279" s="72"/>
      <c r="CV279" s="72"/>
      <c r="CW279" s="72"/>
      <c r="CX279" s="72"/>
      <c r="CY279" s="72"/>
      <c r="CZ279" s="72"/>
      <c r="DA279" s="72"/>
      <c r="DB279" s="72"/>
      <c r="DC279" s="72"/>
      <c r="DD279" s="72"/>
      <c r="DE279" s="72"/>
      <c r="DF279" s="72"/>
      <c r="DG279" s="72"/>
      <c r="DH279" s="72"/>
      <c r="DI279" s="72"/>
      <c r="DJ279" s="72"/>
      <c r="DK279" s="72"/>
      <c r="DL279" s="72"/>
      <c r="DM279" s="72"/>
      <c r="DN279" s="72"/>
      <c r="DO279" s="72"/>
      <c r="DP279" s="72"/>
      <c r="DQ279" s="72"/>
      <c r="DR279" s="72"/>
      <c r="DS279" s="72"/>
      <c r="DT279" s="72"/>
      <c r="DU279" s="72"/>
      <c r="DV279" s="72"/>
      <c r="DW279" s="72"/>
      <c r="DX279" s="72"/>
      <c r="DY279" s="72"/>
      <c r="DZ279" s="72"/>
      <c r="EA279" s="72"/>
      <c r="EB279" s="72"/>
      <c r="EC279" s="72"/>
      <c r="ED279" s="72"/>
      <c r="EE279" s="72"/>
      <c r="EF279" s="72"/>
      <c r="EG279" s="72"/>
      <c r="EH279" s="72"/>
      <c r="EI279" s="72"/>
      <c r="EJ279" s="72"/>
      <c r="EK279" s="72"/>
      <c r="EL279" s="72"/>
      <c r="EM279" s="72"/>
      <c r="EN279" s="72"/>
    </row>
    <row r="280" spans="1:144" s="23" customFormat="1" ht="19.5" hidden="1" customHeight="1">
      <c r="A280" s="20" t="e">
        <f>E279-F279</f>
        <v>#REF!</v>
      </c>
      <c r="B280" s="30"/>
      <c r="C280" s="158" t="s">
        <v>160</v>
      </c>
      <c r="D280" s="30"/>
      <c r="E280" s="306" t="e">
        <f>E276+E269+E245+E242+E228+E212+E247+E257+E227+E211+E270+#REF!+#REF!+#REF!+#REF!+E251+#REF!+E207</f>
        <v>#REF!</v>
      </c>
      <c r="F280" s="306" t="e">
        <f>F276+F269+F245+F242+F228+F212+F247+F257+F227+F211+F270+#REF!+#REF!+#REF!+#REF!+F251+#REF!+F207</f>
        <v>#REF!</v>
      </c>
      <c r="G280" s="366" t="e">
        <f>F280/E280*100</f>
        <v>#REF!</v>
      </c>
      <c r="H280" s="442"/>
      <c r="I280" s="877"/>
      <c r="J280" s="878"/>
      <c r="K280" s="878"/>
      <c r="L280" s="891"/>
      <c r="M280" s="32"/>
      <c r="N280" s="470"/>
      <c r="O280" s="28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72"/>
      <c r="BC280" s="72"/>
      <c r="BD280" s="72"/>
      <c r="BE280" s="72"/>
      <c r="BF280" s="72"/>
      <c r="BG280" s="72"/>
      <c r="BH280" s="72"/>
      <c r="BI280" s="72"/>
      <c r="BJ280" s="72"/>
      <c r="BK280" s="72"/>
      <c r="BL280" s="72"/>
      <c r="BM280" s="72"/>
      <c r="BN280" s="72"/>
      <c r="BO280" s="72"/>
      <c r="BP280" s="72"/>
      <c r="BQ280" s="72"/>
      <c r="BR280" s="72"/>
      <c r="BS280" s="72"/>
      <c r="BT280" s="72"/>
      <c r="BU280" s="72"/>
      <c r="BV280" s="72"/>
      <c r="BW280" s="72"/>
      <c r="BX280" s="72"/>
      <c r="BY280" s="72"/>
      <c r="BZ280" s="72"/>
      <c r="CA280" s="72"/>
      <c r="CB280" s="72"/>
      <c r="CC280" s="72"/>
      <c r="CD280" s="72"/>
      <c r="CE280" s="72"/>
      <c r="CF280" s="72"/>
      <c r="CG280" s="72"/>
      <c r="CH280" s="72"/>
      <c r="CI280" s="72"/>
      <c r="CJ280" s="72"/>
      <c r="CK280" s="72"/>
      <c r="CL280" s="72"/>
      <c r="CM280" s="72"/>
      <c r="CN280" s="72"/>
      <c r="CO280" s="72"/>
      <c r="CP280" s="72"/>
      <c r="CQ280" s="72"/>
      <c r="CR280" s="72"/>
      <c r="CS280" s="72"/>
      <c r="CT280" s="72"/>
      <c r="CU280" s="72"/>
      <c r="CV280" s="72"/>
      <c r="CW280" s="72"/>
      <c r="CX280" s="72"/>
      <c r="CY280" s="72"/>
      <c r="CZ280" s="72"/>
      <c r="DA280" s="72"/>
      <c r="DB280" s="72"/>
      <c r="DC280" s="72"/>
      <c r="DD280" s="72"/>
      <c r="DE280" s="72"/>
      <c r="DF280" s="72"/>
      <c r="DG280" s="72"/>
      <c r="DH280" s="72"/>
      <c r="DI280" s="72"/>
      <c r="DJ280" s="72"/>
      <c r="DK280" s="72"/>
      <c r="DL280" s="72"/>
      <c r="DM280" s="72"/>
      <c r="DN280" s="72"/>
      <c r="DO280" s="72"/>
      <c r="DP280" s="72"/>
      <c r="DQ280" s="72"/>
      <c r="DR280" s="72"/>
      <c r="DS280" s="72"/>
      <c r="DT280" s="72"/>
      <c r="DU280" s="72"/>
      <c r="DV280" s="72"/>
      <c r="DW280" s="72"/>
      <c r="DX280" s="72"/>
      <c r="DY280" s="72"/>
      <c r="DZ280" s="72"/>
      <c r="EA280" s="72"/>
      <c r="EB280" s="72"/>
      <c r="EC280" s="72"/>
      <c r="ED280" s="72"/>
      <c r="EE280" s="72"/>
      <c r="EF280" s="72"/>
      <c r="EG280" s="72"/>
      <c r="EH280" s="72"/>
      <c r="EI280" s="72"/>
      <c r="EJ280" s="72"/>
      <c r="EK280" s="72"/>
      <c r="EL280" s="72"/>
      <c r="EM280" s="72"/>
      <c r="EN280" s="72"/>
    </row>
    <row r="281" spans="1:144" s="23" customFormat="1" ht="18.75" hidden="1">
      <c r="A281" s="20"/>
      <c r="B281" s="30"/>
      <c r="C281" s="158" t="s">
        <v>100</v>
      </c>
      <c r="D281" s="30"/>
      <c r="E281" s="306" t="e">
        <f>E243+E226+E260+#REF!+#REF!+E252+E208</f>
        <v>#REF!</v>
      </c>
      <c r="F281" s="306" t="e">
        <f>F243+F226+F260+#REF!+#REF!+F252+F208</f>
        <v>#REF!</v>
      </c>
      <c r="G281" s="366" t="e">
        <f>F281/E281*100</f>
        <v>#REF!</v>
      </c>
      <c r="H281" s="442"/>
      <c r="I281" s="877"/>
      <c r="J281" s="878"/>
      <c r="K281" s="878"/>
      <c r="L281" s="878"/>
      <c r="M281" s="32"/>
      <c r="N281" s="470"/>
      <c r="O281" s="28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72"/>
      <c r="BC281" s="72"/>
      <c r="BD281" s="72"/>
      <c r="BE281" s="72"/>
      <c r="BF281" s="72"/>
      <c r="BG281" s="72"/>
      <c r="BH281" s="72"/>
      <c r="BI281" s="72"/>
      <c r="BJ281" s="72"/>
      <c r="BK281" s="72"/>
      <c r="BL281" s="72"/>
      <c r="BM281" s="72"/>
      <c r="BN281" s="72"/>
      <c r="BO281" s="72"/>
      <c r="BP281" s="72"/>
      <c r="BQ281" s="72"/>
      <c r="BR281" s="72"/>
      <c r="BS281" s="72"/>
      <c r="BT281" s="72"/>
      <c r="BU281" s="72"/>
      <c r="BV281" s="72"/>
      <c r="BW281" s="72"/>
      <c r="BX281" s="72"/>
      <c r="BY281" s="72"/>
      <c r="BZ281" s="72"/>
      <c r="CA281" s="72"/>
      <c r="CB281" s="72"/>
      <c r="CC281" s="72"/>
      <c r="CD281" s="72"/>
      <c r="CE281" s="72"/>
      <c r="CF281" s="72"/>
      <c r="CG281" s="72"/>
      <c r="CH281" s="72"/>
      <c r="CI281" s="72"/>
      <c r="CJ281" s="72"/>
      <c r="CK281" s="72"/>
      <c r="CL281" s="72"/>
      <c r="CM281" s="72"/>
      <c r="CN281" s="72"/>
      <c r="CO281" s="72"/>
      <c r="CP281" s="72"/>
      <c r="CQ281" s="72"/>
      <c r="CR281" s="72"/>
      <c r="CS281" s="72"/>
      <c r="CT281" s="72"/>
      <c r="CU281" s="72"/>
      <c r="CV281" s="72"/>
      <c r="CW281" s="72"/>
      <c r="CX281" s="72"/>
      <c r="CY281" s="72"/>
      <c r="CZ281" s="72"/>
      <c r="DA281" s="72"/>
      <c r="DB281" s="72"/>
      <c r="DC281" s="72"/>
      <c r="DD281" s="72"/>
      <c r="DE281" s="72"/>
      <c r="DF281" s="72"/>
      <c r="DG281" s="72"/>
      <c r="DH281" s="72"/>
      <c r="DI281" s="72"/>
      <c r="DJ281" s="72"/>
      <c r="DK281" s="72"/>
      <c r="DL281" s="72"/>
      <c r="DM281" s="72"/>
      <c r="DN281" s="72"/>
      <c r="DO281" s="72"/>
      <c r="DP281" s="72"/>
      <c r="DQ281" s="72"/>
      <c r="DR281" s="72"/>
      <c r="DS281" s="72"/>
      <c r="DT281" s="72"/>
      <c r="DU281" s="72"/>
      <c r="DV281" s="72"/>
      <c r="DW281" s="72"/>
      <c r="DX281" s="72"/>
      <c r="DY281" s="72"/>
      <c r="DZ281" s="72"/>
      <c r="EA281" s="72"/>
      <c r="EB281" s="72"/>
      <c r="EC281" s="72"/>
      <c r="ED281" s="72"/>
      <c r="EE281" s="72"/>
      <c r="EF281" s="72"/>
      <c r="EG281" s="72"/>
      <c r="EH281" s="72"/>
      <c r="EI281" s="72"/>
      <c r="EJ281" s="72"/>
      <c r="EK281" s="72"/>
      <c r="EL281" s="72"/>
      <c r="EM281" s="72"/>
      <c r="EN281" s="72"/>
    </row>
    <row r="282" spans="1:144" s="23" customFormat="1" ht="18.75" hidden="1">
      <c r="A282" s="20"/>
      <c r="B282" s="30"/>
      <c r="C282" s="158" t="s">
        <v>138</v>
      </c>
      <c r="D282" s="30"/>
      <c r="E282" s="306">
        <f>E225</f>
        <v>1058832</v>
      </c>
      <c r="F282" s="306">
        <f>F225</f>
        <v>1058832</v>
      </c>
      <c r="G282" s="366">
        <f>F282/E282*100</f>
        <v>100</v>
      </c>
      <c r="H282" s="442"/>
      <c r="I282" s="877"/>
      <c r="J282" s="878"/>
      <c r="K282" s="878"/>
      <c r="L282" s="878"/>
      <c r="M282" s="32"/>
      <c r="N282" s="470"/>
      <c r="O282" s="28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72"/>
      <c r="BC282" s="72"/>
      <c r="BD282" s="72"/>
      <c r="BE282" s="72"/>
      <c r="BF282" s="72"/>
      <c r="BG282" s="72"/>
      <c r="BH282" s="72"/>
      <c r="BI282" s="72"/>
      <c r="BJ282" s="72"/>
      <c r="BK282" s="72"/>
      <c r="BL282" s="72"/>
      <c r="BM282" s="72"/>
      <c r="BN282" s="72"/>
      <c r="BO282" s="72"/>
      <c r="BP282" s="72"/>
      <c r="BQ282" s="72"/>
      <c r="BR282" s="72"/>
      <c r="BS282" s="72"/>
      <c r="BT282" s="72"/>
      <c r="BU282" s="72"/>
      <c r="BV282" s="72"/>
      <c r="BW282" s="72"/>
      <c r="BX282" s="72"/>
      <c r="BY282" s="72"/>
      <c r="BZ282" s="72"/>
      <c r="CA282" s="72"/>
      <c r="CB282" s="72"/>
      <c r="CC282" s="72"/>
      <c r="CD282" s="72"/>
      <c r="CE282" s="72"/>
      <c r="CF282" s="72"/>
      <c r="CG282" s="72"/>
      <c r="CH282" s="72"/>
      <c r="CI282" s="72"/>
      <c r="CJ282" s="72"/>
      <c r="CK282" s="72"/>
      <c r="CL282" s="72"/>
      <c r="CM282" s="72"/>
      <c r="CN282" s="72"/>
      <c r="CO282" s="72"/>
      <c r="CP282" s="72"/>
      <c r="CQ282" s="72"/>
      <c r="CR282" s="72"/>
      <c r="CS282" s="72"/>
      <c r="CT282" s="72"/>
      <c r="CU282" s="72"/>
      <c r="CV282" s="72"/>
      <c r="CW282" s="72"/>
      <c r="CX282" s="72"/>
      <c r="CY282" s="72"/>
      <c r="CZ282" s="72"/>
      <c r="DA282" s="72"/>
      <c r="DB282" s="72"/>
      <c r="DC282" s="72"/>
      <c r="DD282" s="72"/>
      <c r="DE282" s="72"/>
      <c r="DF282" s="72"/>
      <c r="DG282" s="72"/>
      <c r="DH282" s="72"/>
      <c r="DI282" s="72"/>
      <c r="DJ282" s="72"/>
      <c r="DK282" s="72"/>
      <c r="DL282" s="72"/>
      <c r="DM282" s="72"/>
      <c r="DN282" s="72"/>
      <c r="DO282" s="72"/>
      <c r="DP282" s="72"/>
      <c r="DQ282" s="72"/>
      <c r="DR282" s="72"/>
      <c r="DS282" s="72"/>
      <c r="DT282" s="72"/>
      <c r="DU282" s="72"/>
      <c r="DV282" s="72"/>
      <c r="DW282" s="72"/>
      <c r="DX282" s="72"/>
      <c r="DY282" s="72"/>
      <c r="DZ282" s="72"/>
      <c r="EA282" s="72"/>
      <c r="EB282" s="72"/>
      <c r="EC282" s="72"/>
      <c r="ED282" s="72"/>
      <c r="EE282" s="72"/>
      <c r="EF282" s="72"/>
      <c r="EG282" s="72"/>
      <c r="EH282" s="72"/>
      <c r="EI282" s="72"/>
      <c r="EJ282" s="72"/>
      <c r="EK282" s="72"/>
      <c r="EL282" s="72"/>
      <c r="EM282" s="72"/>
      <c r="EN282" s="72"/>
    </row>
    <row r="283" spans="1:144" s="167" customFormat="1" ht="49.5" customHeight="1">
      <c r="B283" s="109" t="s">
        <v>403</v>
      </c>
      <c r="C283" s="841" t="s">
        <v>323</v>
      </c>
      <c r="D283" s="842"/>
      <c r="E283" s="842"/>
      <c r="F283" s="842"/>
      <c r="G283" s="842"/>
      <c r="H283" s="842"/>
      <c r="I283" s="842"/>
      <c r="J283" s="842"/>
      <c r="K283" s="842"/>
      <c r="L283" s="842"/>
      <c r="M283" s="842"/>
      <c r="N283" s="856"/>
      <c r="O283" s="288"/>
      <c r="P283" s="382"/>
      <c r="Q283" s="382"/>
      <c r="R283" s="382"/>
      <c r="S283" s="382"/>
      <c r="T283" s="382"/>
      <c r="U283" s="382"/>
      <c r="V283" s="382"/>
      <c r="W283" s="382"/>
      <c r="X283" s="382"/>
      <c r="Y283" s="382"/>
      <c r="Z283" s="382"/>
      <c r="AA283" s="382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  <c r="EC283" s="124"/>
      <c r="ED283" s="124"/>
      <c r="EE283" s="124"/>
      <c r="EF283" s="124"/>
      <c r="EG283" s="124"/>
      <c r="EH283" s="124"/>
      <c r="EI283" s="124"/>
      <c r="EJ283" s="124"/>
      <c r="EK283" s="124"/>
      <c r="EL283" s="124"/>
      <c r="EM283" s="124"/>
      <c r="EN283" s="124"/>
    </row>
    <row r="284" spans="1:144" s="59" customFormat="1" ht="36.75" customHeight="1">
      <c r="B284" s="35"/>
      <c r="C284" s="799" t="s">
        <v>324</v>
      </c>
      <c r="D284" s="846"/>
      <c r="E284" s="846"/>
      <c r="F284" s="846"/>
      <c r="G284" s="846"/>
      <c r="H284" s="846"/>
      <c r="I284" s="846"/>
      <c r="J284" s="846"/>
      <c r="K284" s="846"/>
      <c r="L284" s="846"/>
      <c r="M284" s="846"/>
      <c r="N284" s="847"/>
      <c r="O284" s="288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  <c r="Z284" s="382"/>
      <c r="AA284" s="382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  <c r="EC284" s="124"/>
      <c r="ED284" s="124"/>
      <c r="EE284" s="124"/>
      <c r="EF284" s="124"/>
      <c r="EG284" s="124"/>
      <c r="EH284" s="124"/>
      <c r="EI284" s="124"/>
      <c r="EJ284" s="124"/>
      <c r="EK284" s="124"/>
      <c r="EL284" s="124"/>
      <c r="EM284" s="124"/>
      <c r="EN284" s="124"/>
    </row>
    <row r="285" spans="1:144" s="59" customFormat="1" ht="42" customHeight="1">
      <c r="B285" s="35"/>
      <c r="C285" s="799" t="s">
        <v>325</v>
      </c>
      <c r="D285" s="800"/>
      <c r="E285" s="800"/>
      <c r="F285" s="800"/>
      <c r="G285" s="800"/>
      <c r="H285" s="800"/>
      <c r="I285" s="800"/>
      <c r="J285" s="800"/>
      <c r="K285" s="800"/>
      <c r="L285" s="800"/>
      <c r="M285" s="800"/>
      <c r="N285" s="801"/>
      <c r="O285" s="288"/>
      <c r="P285" s="382"/>
      <c r="Q285" s="382"/>
      <c r="R285" s="382"/>
      <c r="S285" s="382"/>
      <c r="T285" s="382"/>
      <c r="U285" s="382"/>
      <c r="V285" s="382"/>
      <c r="W285" s="382"/>
      <c r="X285" s="382"/>
      <c r="Y285" s="382"/>
      <c r="Z285" s="382"/>
      <c r="AA285" s="382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  <c r="EC285" s="124"/>
      <c r="ED285" s="124"/>
      <c r="EE285" s="124"/>
      <c r="EF285" s="124"/>
      <c r="EG285" s="124"/>
      <c r="EH285" s="124"/>
      <c r="EI285" s="124"/>
      <c r="EJ285" s="124"/>
      <c r="EK285" s="124"/>
      <c r="EL285" s="124"/>
      <c r="EM285" s="124"/>
      <c r="EN285" s="124"/>
    </row>
    <row r="286" spans="1:144" s="59" customFormat="1" ht="24.75" customHeight="1">
      <c r="B286" s="35"/>
      <c r="C286" s="799" t="s">
        <v>327</v>
      </c>
      <c r="D286" s="800"/>
      <c r="E286" s="800"/>
      <c r="F286" s="800"/>
      <c r="G286" s="800"/>
      <c r="H286" s="800"/>
      <c r="I286" s="800"/>
      <c r="J286" s="800"/>
      <c r="K286" s="800"/>
      <c r="L286" s="800"/>
      <c r="M286" s="800"/>
      <c r="N286" s="801"/>
      <c r="O286" s="288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  <c r="Z286" s="382"/>
      <c r="AA286" s="382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  <c r="EC286" s="124"/>
      <c r="ED286" s="124"/>
      <c r="EE286" s="124"/>
      <c r="EF286" s="124"/>
      <c r="EG286" s="124"/>
      <c r="EH286" s="124"/>
      <c r="EI286" s="124"/>
      <c r="EJ286" s="124"/>
      <c r="EK286" s="124"/>
      <c r="EL286" s="124"/>
      <c r="EM286" s="124"/>
      <c r="EN286" s="124"/>
    </row>
    <row r="287" spans="1:144" s="59" customFormat="1" ht="28.5" customHeight="1">
      <c r="B287" s="35"/>
      <c r="C287" s="799" t="s">
        <v>326</v>
      </c>
      <c r="D287" s="800"/>
      <c r="E287" s="800"/>
      <c r="F287" s="800"/>
      <c r="G287" s="800"/>
      <c r="H287" s="800"/>
      <c r="I287" s="800"/>
      <c r="J287" s="800"/>
      <c r="K287" s="800"/>
      <c r="L287" s="800"/>
      <c r="M287" s="800"/>
      <c r="N287" s="801"/>
      <c r="O287" s="288"/>
      <c r="P287" s="388"/>
      <c r="Q287" s="388"/>
      <c r="R287" s="388"/>
      <c r="S287" s="388"/>
      <c r="T287" s="388"/>
      <c r="U287" s="388"/>
      <c r="V287" s="388"/>
      <c r="W287" s="388"/>
      <c r="X287" s="382"/>
      <c r="Y287" s="382"/>
      <c r="Z287" s="382"/>
      <c r="AA287" s="382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  <c r="EC287" s="124"/>
      <c r="ED287" s="124"/>
      <c r="EE287" s="124"/>
      <c r="EF287" s="124"/>
      <c r="EG287" s="124"/>
      <c r="EH287" s="124"/>
      <c r="EI287" s="124"/>
      <c r="EJ287" s="124"/>
      <c r="EK287" s="124"/>
      <c r="EL287" s="124"/>
      <c r="EM287" s="124"/>
      <c r="EN287" s="124"/>
    </row>
    <row r="288" spans="1:144" s="189" customFormat="1" ht="49.5" customHeight="1">
      <c r="B288" s="24"/>
      <c r="C288" s="805" t="s">
        <v>537</v>
      </c>
      <c r="D288" s="806"/>
      <c r="E288" s="806"/>
      <c r="F288" s="806"/>
      <c r="G288" s="806"/>
      <c r="H288" s="806"/>
      <c r="I288" s="806"/>
      <c r="J288" s="806"/>
      <c r="K288" s="806"/>
      <c r="L288" s="806"/>
      <c r="M288" s="806"/>
      <c r="N288" s="807"/>
      <c r="O288" s="288"/>
      <c r="P288" s="364"/>
      <c r="Q288" s="364"/>
      <c r="R288" s="364"/>
      <c r="S288" s="364"/>
      <c r="T288" s="364"/>
      <c r="U288" s="364"/>
      <c r="V288" s="364"/>
      <c r="W288" s="364"/>
      <c r="X288" s="388"/>
      <c r="Y288" s="388"/>
      <c r="Z288" s="388"/>
      <c r="AA288" s="38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  <c r="BB288" s="238"/>
      <c r="BC288" s="238"/>
      <c r="BD288" s="238"/>
      <c r="BE288" s="238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  <c r="BS288" s="238"/>
      <c r="BT288" s="238"/>
      <c r="BU288" s="238"/>
      <c r="BV288" s="238"/>
      <c r="BW288" s="238"/>
      <c r="BX288" s="238"/>
      <c r="BY288" s="238"/>
      <c r="BZ288" s="238"/>
      <c r="CA288" s="238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  <c r="CV288" s="238"/>
      <c r="CW288" s="238"/>
      <c r="CX288" s="238"/>
      <c r="CY288" s="238"/>
      <c r="CZ288" s="238"/>
      <c r="DA288" s="238"/>
      <c r="DB288" s="238"/>
      <c r="DC288" s="238"/>
      <c r="DD288" s="238"/>
      <c r="DE288" s="238"/>
      <c r="DF288" s="238"/>
      <c r="DG288" s="238"/>
      <c r="DH288" s="238"/>
      <c r="DI288" s="238"/>
      <c r="DJ288" s="238"/>
      <c r="DK288" s="238"/>
      <c r="DL288" s="238"/>
      <c r="DM288" s="238"/>
      <c r="DN288" s="238"/>
      <c r="DO288" s="238"/>
      <c r="DP288" s="238"/>
      <c r="DQ288" s="238"/>
      <c r="DR288" s="238"/>
      <c r="DS288" s="238"/>
      <c r="DT288" s="238"/>
      <c r="DU288" s="238"/>
      <c r="DV288" s="238"/>
      <c r="DW288" s="238"/>
      <c r="DX288" s="238"/>
      <c r="DY288" s="238"/>
      <c r="DZ288" s="238"/>
      <c r="EA288" s="238"/>
      <c r="EB288" s="238"/>
      <c r="EC288" s="238"/>
      <c r="ED288" s="238"/>
      <c r="EE288" s="238"/>
      <c r="EF288" s="238"/>
      <c r="EG288" s="238"/>
      <c r="EH288" s="238"/>
      <c r="EI288" s="238"/>
      <c r="EJ288" s="238"/>
      <c r="EK288" s="238"/>
      <c r="EL288" s="238"/>
      <c r="EM288" s="238"/>
      <c r="EN288" s="238"/>
    </row>
    <row r="289" spans="2:145" s="114" customFormat="1" ht="31.5" customHeight="1">
      <c r="B289" s="193"/>
      <c r="C289" s="799" t="s">
        <v>411</v>
      </c>
      <c r="D289" s="800"/>
      <c r="E289" s="800"/>
      <c r="F289" s="800"/>
      <c r="G289" s="800"/>
      <c r="H289" s="800"/>
      <c r="I289" s="800"/>
      <c r="J289" s="800"/>
      <c r="K289" s="800"/>
      <c r="L289" s="800"/>
      <c r="M289" s="800"/>
      <c r="N289" s="801"/>
      <c r="O289" s="288"/>
      <c r="P289" s="364"/>
      <c r="Q289" s="364"/>
      <c r="R289" s="364"/>
      <c r="S289" s="364"/>
      <c r="T289" s="364"/>
      <c r="U289" s="364"/>
      <c r="V289" s="364"/>
      <c r="W289" s="364"/>
      <c r="X289" s="364"/>
      <c r="Y289" s="364"/>
      <c r="Z289" s="364"/>
      <c r="AA289" s="364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  <c r="AP289" s="126"/>
      <c r="AQ289" s="126"/>
      <c r="AR289" s="126"/>
      <c r="AS289" s="126"/>
      <c r="AT289" s="126"/>
      <c r="AU289" s="126"/>
      <c r="AV289" s="126"/>
      <c r="AW289" s="126"/>
      <c r="AX289" s="126"/>
      <c r="AY289" s="126"/>
      <c r="AZ289" s="126"/>
      <c r="BA289" s="126"/>
      <c r="BB289" s="126"/>
      <c r="BC289" s="126"/>
      <c r="BD289" s="126"/>
      <c r="BE289" s="126"/>
      <c r="BF289" s="126"/>
      <c r="BG289" s="126"/>
      <c r="BH289" s="126"/>
      <c r="BI289" s="126"/>
      <c r="BJ289" s="126"/>
      <c r="BK289" s="126"/>
      <c r="BL289" s="126"/>
      <c r="BM289" s="126"/>
      <c r="BN289" s="126"/>
      <c r="BO289" s="126"/>
      <c r="BP289" s="126"/>
      <c r="BQ289" s="126"/>
      <c r="BR289" s="126"/>
      <c r="BS289" s="126"/>
      <c r="BT289" s="126"/>
      <c r="BU289" s="126"/>
      <c r="BV289" s="126"/>
      <c r="BW289" s="126"/>
      <c r="BX289" s="126"/>
      <c r="BY289" s="126"/>
      <c r="BZ289" s="126"/>
      <c r="CA289" s="126"/>
      <c r="CB289" s="126"/>
      <c r="CC289" s="126"/>
      <c r="CD289" s="126"/>
      <c r="CE289" s="126"/>
      <c r="CF289" s="126"/>
      <c r="CG289" s="126"/>
      <c r="CH289" s="126"/>
      <c r="CI289" s="126"/>
      <c r="CJ289" s="126"/>
      <c r="CK289" s="126"/>
      <c r="CL289" s="126"/>
      <c r="CM289" s="126"/>
      <c r="CN289" s="126"/>
      <c r="CO289" s="126"/>
      <c r="CP289" s="126"/>
      <c r="CQ289" s="126"/>
      <c r="CR289" s="126"/>
      <c r="CS289" s="126"/>
      <c r="CT289" s="126"/>
      <c r="CU289" s="126"/>
      <c r="CV289" s="126"/>
      <c r="CW289" s="126"/>
      <c r="CX289" s="126"/>
      <c r="CY289" s="126"/>
      <c r="CZ289" s="126"/>
      <c r="DA289" s="126"/>
      <c r="DB289" s="126"/>
      <c r="DC289" s="126"/>
      <c r="DD289" s="126"/>
      <c r="DE289" s="126"/>
      <c r="DF289" s="126"/>
      <c r="DG289" s="126"/>
      <c r="DH289" s="126"/>
      <c r="DI289" s="126"/>
      <c r="DJ289" s="126"/>
      <c r="DK289" s="126"/>
      <c r="DL289" s="126"/>
      <c r="DM289" s="126"/>
      <c r="DN289" s="126"/>
      <c r="DO289" s="126"/>
      <c r="DP289" s="126"/>
      <c r="DQ289" s="126"/>
      <c r="DR289" s="126"/>
      <c r="DS289" s="126"/>
      <c r="DT289" s="126"/>
      <c r="DU289" s="126"/>
      <c r="DV289" s="126"/>
      <c r="DW289" s="126"/>
      <c r="DX289" s="126"/>
      <c r="DY289" s="126"/>
      <c r="DZ289" s="126"/>
      <c r="EA289" s="126"/>
      <c r="EB289" s="126"/>
      <c r="EC289" s="126"/>
      <c r="ED289" s="126"/>
      <c r="EE289" s="126"/>
      <c r="EF289" s="126"/>
      <c r="EG289" s="126"/>
      <c r="EH289" s="126"/>
      <c r="EI289" s="126"/>
      <c r="EJ289" s="126"/>
      <c r="EK289" s="126"/>
      <c r="EL289" s="126"/>
      <c r="EM289" s="126"/>
      <c r="EN289" s="126"/>
    </row>
    <row r="290" spans="2:145" s="114" customFormat="1" ht="41.25" customHeight="1">
      <c r="B290" s="327" t="s">
        <v>404</v>
      </c>
      <c r="C290" s="799" t="s">
        <v>328</v>
      </c>
      <c r="D290" s="800"/>
      <c r="E290" s="800"/>
      <c r="F290" s="800"/>
      <c r="G290" s="800"/>
      <c r="H290" s="800"/>
      <c r="I290" s="800"/>
      <c r="J290" s="800"/>
      <c r="K290" s="800"/>
      <c r="L290" s="800"/>
      <c r="M290" s="800"/>
      <c r="N290" s="801"/>
      <c r="O290" s="288"/>
      <c r="P290" s="382"/>
      <c r="Q290" s="382"/>
      <c r="R290" s="382"/>
      <c r="S290" s="382"/>
      <c r="T290" s="382"/>
      <c r="U290" s="382"/>
      <c r="V290" s="382"/>
      <c r="W290" s="382"/>
      <c r="X290" s="364"/>
      <c r="Y290" s="364"/>
      <c r="Z290" s="364"/>
      <c r="AA290" s="364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  <c r="AP290" s="126"/>
      <c r="AQ290" s="126"/>
      <c r="AR290" s="126"/>
      <c r="AS290" s="126"/>
      <c r="AT290" s="126"/>
      <c r="AU290" s="126"/>
      <c r="AV290" s="126"/>
      <c r="AW290" s="126"/>
      <c r="AX290" s="126"/>
      <c r="AY290" s="126"/>
      <c r="AZ290" s="126"/>
      <c r="BA290" s="126"/>
      <c r="BB290" s="126"/>
      <c r="BC290" s="126"/>
      <c r="BD290" s="126"/>
      <c r="BE290" s="126"/>
      <c r="BF290" s="126"/>
      <c r="BG290" s="126"/>
      <c r="BH290" s="126"/>
      <c r="BI290" s="126"/>
      <c r="BJ290" s="126"/>
      <c r="BK290" s="126"/>
      <c r="BL290" s="126"/>
      <c r="BM290" s="126"/>
      <c r="BN290" s="126"/>
      <c r="BO290" s="126"/>
      <c r="BP290" s="126"/>
      <c r="BQ290" s="126"/>
      <c r="BR290" s="126"/>
      <c r="BS290" s="126"/>
      <c r="BT290" s="126"/>
      <c r="BU290" s="126"/>
      <c r="BV290" s="126"/>
      <c r="BW290" s="126"/>
      <c r="BX290" s="126"/>
      <c r="BY290" s="126"/>
      <c r="BZ290" s="126"/>
      <c r="CA290" s="126"/>
      <c r="CB290" s="126"/>
      <c r="CC290" s="126"/>
      <c r="CD290" s="126"/>
      <c r="CE290" s="126"/>
      <c r="CF290" s="126"/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P290" s="126"/>
      <c r="DQ290" s="126"/>
      <c r="DR290" s="126"/>
      <c r="DS290" s="126"/>
      <c r="DT290" s="126"/>
      <c r="DU290" s="126"/>
      <c r="DV290" s="126"/>
      <c r="DW290" s="126"/>
      <c r="DX290" s="126"/>
      <c r="DY290" s="126"/>
      <c r="DZ290" s="126"/>
      <c r="EA290" s="126"/>
      <c r="EB290" s="126"/>
      <c r="EC290" s="126"/>
      <c r="ED290" s="126"/>
      <c r="EE290" s="126"/>
      <c r="EF290" s="126"/>
      <c r="EG290" s="126"/>
      <c r="EH290" s="126"/>
      <c r="EI290" s="126"/>
      <c r="EJ290" s="126"/>
      <c r="EK290" s="126"/>
      <c r="EL290" s="126"/>
      <c r="EM290" s="126"/>
      <c r="EN290" s="126"/>
    </row>
    <row r="291" spans="2:145" s="59" customFormat="1" ht="78.75" customHeight="1">
      <c r="B291" s="89" t="s">
        <v>405</v>
      </c>
      <c r="C291" s="194" t="s">
        <v>685</v>
      </c>
      <c r="D291" s="89" t="s">
        <v>333</v>
      </c>
      <c r="E291" s="690">
        <v>2099000</v>
      </c>
      <c r="F291" s="690">
        <v>2099000</v>
      </c>
      <c r="G291" s="106">
        <f>F291/E291*100</f>
        <v>100</v>
      </c>
      <c r="H291" s="526">
        <f>G291/100</f>
        <v>1</v>
      </c>
      <c r="I291" s="46" t="s">
        <v>365</v>
      </c>
      <c r="J291" s="47" t="s">
        <v>12</v>
      </c>
      <c r="K291" s="681">
        <v>39</v>
      </c>
      <c r="L291" s="681">
        <v>39</v>
      </c>
      <c r="M291" s="226">
        <f>L291/K291*100</f>
        <v>100</v>
      </c>
      <c r="N291" s="254">
        <f>M291/100</f>
        <v>1</v>
      </c>
      <c r="O291" s="288"/>
      <c r="P291" s="382"/>
      <c r="Q291" s="382"/>
      <c r="R291" s="382"/>
      <c r="S291" s="382"/>
      <c r="T291" s="382"/>
      <c r="U291" s="382"/>
      <c r="V291" s="382"/>
      <c r="W291" s="382"/>
      <c r="X291" s="382"/>
      <c r="Y291" s="382"/>
      <c r="Z291" s="382"/>
      <c r="AA291" s="382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  <c r="EC291" s="124"/>
      <c r="ED291" s="124"/>
      <c r="EE291" s="124"/>
      <c r="EF291" s="124"/>
      <c r="EG291" s="124"/>
      <c r="EH291" s="124"/>
      <c r="EI291" s="124"/>
      <c r="EJ291" s="124"/>
      <c r="EK291" s="124"/>
      <c r="EL291" s="124"/>
      <c r="EM291" s="124"/>
      <c r="EN291" s="124"/>
    </row>
    <row r="292" spans="2:145" s="182" customFormat="1" ht="22.5" customHeight="1">
      <c r="B292" s="195"/>
      <c r="C292" s="196" t="s">
        <v>21</v>
      </c>
      <c r="D292" s="409"/>
      <c r="E292" s="553">
        <f>E291</f>
        <v>2099000</v>
      </c>
      <c r="F292" s="553">
        <f>F291</f>
        <v>2099000</v>
      </c>
      <c r="G292" s="525">
        <f>F292/E292*100</f>
        <v>100</v>
      </c>
      <c r="H292" s="524">
        <v>1</v>
      </c>
      <c r="I292" s="196"/>
      <c r="J292" s="196"/>
      <c r="K292" s="287"/>
      <c r="L292" s="287"/>
      <c r="M292" s="527">
        <v>100</v>
      </c>
      <c r="N292" s="472">
        <v>1</v>
      </c>
      <c r="O292" s="293"/>
      <c r="P292" s="177"/>
      <c r="Q292" s="177"/>
      <c r="R292" s="177"/>
      <c r="S292" s="177"/>
      <c r="T292" s="177"/>
      <c r="U292" s="177"/>
      <c r="V292" s="177"/>
      <c r="W292" s="177"/>
      <c r="X292" s="177"/>
      <c r="Y292" s="177"/>
      <c r="Z292" s="177"/>
      <c r="AA292" s="177"/>
      <c r="AB292" s="235"/>
      <c r="AC292" s="235"/>
      <c r="AD292" s="235"/>
      <c r="AE292" s="235"/>
      <c r="AF292" s="235"/>
      <c r="AG292" s="235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  <c r="AR292" s="235"/>
      <c r="AS292" s="235"/>
      <c r="AT292" s="235"/>
      <c r="AU292" s="235"/>
      <c r="AV292" s="235"/>
      <c r="AW292" s="235"/>
      <c r="AX292" s="235"/>
      <c r="AY292" s="235"/>
      <c r="AZ292" s="235"/>
      <c r="BA292" s="235"/>
      <c r="BB292" s="235"/>
      <c r="BC292" s="235"/>
      <c r="BD292" s="235"/>
      <c r="BE292" s="235"/>
      <c r="BF292" s="235"/>
      <c r="BG292" s="235"/>
      <c r="BH292" s="235"/>
      <c r="BI292" s="235"/>
      <c r="BJ292" s="235"/>
      <c r="BK292" s="235"/>
      <c r="BL292" s="235"/>
      <c r="BM292" s="235"/>
      <c r="BN292" s="235"/>
      <c r="BO292" s="235"/>
      <c r="BP292" s="235"/>
      <c r="BQ292" s="235"/>
      <c r="BR292" s="235"/>
      <c r="BS292" s="235"/>
      <c r="BT292" s="235"/>
      <c r="BU292" s="235"/>
      <c r="BV292" s="235"/>
      <c r="BW292" s="235"/>
      <c r="BX292" s="235"/>
      <c r="BY292" s="235"/>
      <c r="BZ292" s="235"/>
      <c r="CA292" s="235"/>
      <c r="CB292" s="235"/>
      <c r="CC292" s="235"/>
      <c r="CD292" s="235"/>
      <c r="CE292" s="235"/>
      <c r="CF292" s="235"/>
      <c r="CG292" s="235"/>
      <c r="CH292" s="235"/>
      <c r="CI292" s="235"/>
      <c r="CJ292" s="235"/>
      <c r="CK292" s="235"/>
      <c r="CL292" s="235"/>
      <c r="CM292" s="235"/>
      <c r="CN292" s="235"/>
      <c r="CO292" s="235"/>
      <c r="CP292" s="235"/>
      <c r="CQ292" s="235"/>
      <c r="CR292" s="235"/>
      <c r="CS292" s="235"/>
      <c r="CT292" s="235"/>
      <c r="CU292" s="235"/>
      <c r="CV292" s="235"/>
      <c r="CW292" s="235"/>
      <c r="CX292" s="235"/>
      <c r="CY292" s="235"/>
      <c r="CZ292" s="235"/>
      <c r="DA292" s="235"/>
      <c r="DB292" s="235"/>
      <c r="DC292" s="235"/>
      <c r="DD292" s="235"/>
      <c r="DE292" s="235"/>
      <c r="DF292" s="235"/>
      <c r="DG292" s="235"/>
      <c r="DH292" s="235"/>
      <c r="DI292" s="235"/>
      <c r="DJ292" s="235"/>
      <c r="DK292" s="235"/>
      <c r="DL292" s="235"/>
      <c r="DM292" s="235"/>
      <c r="DN292" s="235"/>
      <c r="DO292" s="235"/>
      <c r="DP292" s="235"/>
      <c r="DQ292" s="235"/>
      <c r="DR292" s="235"/>
      <c r="DS292" s="235"/>
      <c r="DT292" s="235"/>
      <c r="DU292" s="235"/>
      <c r="DV292" s="235"/>
      <c r="DW292" s="235"/>
      <c r="DX292" s="235"/>
      <c r="DY292" s="235"/>
      <c r="DZ292" s="235"/>
      <c r="EA292" s="235"/>
      <c r="EB292" s="235"/>
      <c r="EC292" s="235"/>
      <c r="ED292" s="235"/>
      <c r="EE292" s="235"/>
      <c r="EF292" s="235"/>
      <c r="EG292" s="235"/>
      <c r="EH292" s="235"/>
      <c r="EI292" s="235"/>
      <c r="EJ292" s="235"/>
      <c r="EK292" s="235"/>
      <c r="EL292" s="235"/>
      <c r="EM292" s="235"/>
      <c r="EN292" s="235"/>
      <c r="EO292" s="198"/>
    </row>
    <row r="293" spans="2:145" s="189" customFormat="1" ht="49.5" customHeight="1">
      <c r="B293" s="24"/>
      <c r="C293" s="805" t="s">
        <v>406</v>
      </c>
      <c r="D293" s="806"/>
      <c r="E293" s="806"/>
      <c r="F293" s="806"/>
      <c r="G293" s="806"/>
      <c r="H293" s="806"/>
      <c r="I293" s="806"/>
      <c r="J293" s="806"/>
      <c r="K293" s="806"/>
      <c r="L293" s="806"/>
      <c r="M293" s="806"/>
      <c r="N293" s="807"/>
      <c r="O293" s="288"/>
      <c r="P293" s="364"/>
      <c r="Q293" s="364"/>
      <c r="R293" s="364"/>
      <c r="S293" s="364"/>
      <c r="T293" s="364"/>
      <c r="U293" s="364"/>
      <c r="V293" s="364"/>
      <c r="W293" s="364"/>
      <c r="X293" s="388"/>
      <c r="Y293" s="388"/>
      <c r="Z293" s="388"/>
      <c r="AA293" s="38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8"/>
      <c r="AV293" s="238"/>
      <c r="AW293" s="238"/>
      <c r="AX293" s="238"/>
      <c r="AY293" s="238"/>
      <c r="AZ293" s="238"/>
      <c r="BA293" s="238"/>
      <c r="BB293" s="238"/>
      <c r="BC293" s="238"/>
      <c r="BD293" s="238"/>
      <c r="BE293" s="238"/>
      <c r="BF293" s="238"/>
      <c r="BG293" s="238"/>
      <c r="BH293" s="238"/>
      <c r="BI293" s="238"/>
      <c r="BJ293" s="238"/>
      <c r="BK293" s="238"/>
      <c r="BL293" s="238"/>
      <c r="BM293" s="238"/>
      <c r="BN293" s="238"/>
      <c r="BO293" s="238"/>
      <c r="BP293" s="238"/>
      <c r="BQ293" s="238"/>
      <c r="BR293" s="238"/>
      <c r="BS293" s="238"/>
      <c r="BT293" s="238"/>
      <c r="BU293" s="238"/>
      <c r="BV293" s="238"/>
      <c r="BW293" s="238"/>
      <c r="BX293" s="238"/>
      <c r="BY293" s="238"/>
      <c r="BZ293" s="238"/>
      <c r="CA293" s="238"/>
      <c r="CB293" s="238"/>
      <c r="CC293" s="238"/>
      <c r="CD293" s="238"/>
      <c r="CE293" s="238"/>
      <c r="CF293" s="238"/>
      <c r="CG293" s="238"/>
      <c r="CH293" s="238"/>
      <c r="CI293" s="238"/>
      <c r="CJ293" s="238"/>
      <c r="CK293" s="238"/>
      <c r="CL293" s="238"/>
      <c r="CM293" s="238"/>
      <c r="CN293" s="238"/>
      <c r="CO293" s="238"/>
      <c r="CP293" s="238"/>
      <c r="CQ293" s="238"/>
      <c r="CR293" s="238"/>
      <c r="CS293" s="238"/>
      <c r="CT293" s="238"/>
      <c r="CU293" s="238"/>
      <c r="CV293" s="238"/>
      <c r="CW293" s="238"/>
      <c r="CX293" s="238"/>
      <c r="CY293" s="238"/>
      <c r="CZ293" s="238"/>
      <c r="DA293" s="238"/>
      <c r="DB293" s="238"/>
      <c r="DC293" s="238"/>
      <c r="DD293" s="238"/>
      <c r="DE293" s="238"/>
      <c r="DF293" s="238"/>
      <c r="DG293" s="238"/>
      <c r="DH293" s="238"/>
      <c r="DI293" s="238"/>
      <c r="DJ293" s="238"/>
      <c r="DK293" s="238"/>
      <c r="DL293" s="238"/>
      <c r="DM293" s="238"/>
      <c r="DN293" s="238"/>
      <c r="DO293" s="238"/>
      <c r="DP293" s="238"/>
      <c r="DQ293" s="238"/>
      <c r="DR293" s="238"/>
      <c r="DS293" s="238"/>
      <c r="DT293" s="238"/>
      <c r="DU293" s="238"/>
      <c r="DV293" s="238"/>
      <c r="DW293" s="238"/>
      <c r="DX293" s="238"/>
      <c r="DY293" s="238"/>
      <c r="DZ293" s="238"/>
      <c r="EA293" s="238"/>
      <c r="EB293" s="238"/>
      <c r="EC293" s="238"/>
      <c r="ED293" s="238"/>
      <c r="EE293" s="238"/>
      <c r="EF293" s="238"/>
      <c r="EG293" s="238"/>
      <c r="EH293" s="238"/>
      <c r="EI293" s="238"/>
      <c r="EJ293" s="238"/>
      <c r="EK293" s="238"/>
      <c r="EL293" s="238"/>
      <c r="EM293" s="238"/>
      <c r="EN293" s="238"/>
    </row>
    <row r="294" spans="2:145" s="114" customFormat="1" ht="31.5" customHeight="1">
      <c r="B294" s="193"/>
      <c r="C294" s="799" t="s">
        <v>414</v>
      </c>
      <c r="D294" s="800"/>
      <c r="E294" s="800"/>
      <c r="F294" s="800"/>
      <c r="G294" s="800"/>
      <c r="H294" s="800"/>
      <c r="I294" s="800"/>
      <c r="J294" s="800"/>
      <c r="K294" s="800"/>
      <c r="L294" s="800"/>
      <c r="M294" s="800"/>
      <c r="N294" s="801"/>
      <c r="O294" s="288"/>
      <c r="P294" s="364"/>
      <c r="Q294" s="364"/>
      <c r="R294" s="364"/>
      <c r="S294" s="364"/>
      <c r="T294" s="364"/>
      <c r="U294" s="364"/>
      <c r="V294" s="364"/>
      <c r="W294" s="364"/>
      <c r="X294" s="364"/>
      <c r="Y294" s="364"/>
      <c r="Z294" s="364"/>
      <c r="AA294" s="364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  <c r="AP294" s="126"/>
      <c r="AQ294" s="126"/>
      <c r="AR294" s="126"/>
      <c r="AS294" s="126"/>
      <c r="AT294" s="126"/>
      <c r="AU294" s="126"/>
      <c r="AV294" s="126"/>
      <c r="AW294" s="126"/>
      <c r="AX294" s="126"/>
      <c r="AY294" s="126"/>
      <c r="AZ294" s="126"/>
      <c r="BA294" s="126"/>
      <c r="BB294" s="126"/>
      <c r="BC294" s="126"/>
      <c r="BD294" s="126"/>
      <c r="BE294" s="126"/>
      <c r="BF294" s="126"/>
      <c r="BG294" s="126"/>
      <c r="BH294" s="126"/>
      <c r="BI294" s="126"/>
      <c r="BJ294" s="126"/>
      <c r="BK294" s="126"/>
      <c r="BL294" s="126"/>
      <c r="BM294" s="126"/>
      <c r="BN294" s="126"/>
      <c r="BO294" s="126"/>
      <c r="BP294" s="126"/>
      <c r="BQ294" s="126"/>
      <c r="BR294" s="126"/>
      <c r="BS294" s="126"/>
      <c r="BT294" s="126"/>
      <c r="BU294" s="126"/>
      <c r="BV294" s="126"/>
      <c r="BW294" s="126"/>
      <c r="BX294" s="126"/>
      <c r="BY294" s="126"/>
      <c r="BZ294" s="126"/>
      <c r="CA294" s="126"/>
      <c r="CB294" s="126"/>
      <c r="CC294" s="126"/>
      <c r="CD294" s="126"/>
      <c r="CE294" s="126"/>
      <c r="CF294" s="126"/>
      <c r="CG294" s="126"/>
      <c r="CH294" s="126"/>
      <c r="CI294" s="126"/>
      <c r="CJ294" s="126"/>
      <c r="CK294" s="126"/>
      <c r="CL294" s="126"/>
      <c r="CM294" s="126"/>
      <c r="CN294" s="126"/>
      <c r="CO294" s="126"/>
      <c r="CP294" s="126"/>
      <c r="CQ294" s="126"/>
      <c r="CR294" s="126"/>
      <c r="CS294" s="126"/>
      <c r="CT294" s="126"/>
      <c r="CU294" s="126"/>
      <c r="CV294" s="126"/>
      <c r="CW294" s="126"/>
      <c r="CX294" s="126"/>
      <c r="CY294" s="126"/>
      <c r="CZ294" s="126"/>
      <c r="DA294" s="126"/>
      <c r="DB294" s="126"/>
      <c r="DC294" s="126"/>
      <c r="DD294" s="126"/>
      <c r="DE294" s="126"/>
      <c r="DF294" s="126"/>
      <c r="DG294" s="126"/>
      <c r="DH294" s="126"/>
      <c r="DI294" s="126"/>
      <c r="DJ294" s="126"/>
      <c r="DK294" s="126"/>
      <c r="DL294" s="126"/>
      <c r="DM294" s="126"/>
      <c r="DN294" s="126"/>
      <c r="DO294" s="126"/>
      <c r="DP294" s="126"/>
      <c r="DQ294" s="126"/>
      <c r="DR294" s="126"/>
      <c r="DS294" s="126"/>
      <c r="DT294" s="126"/>
      <c r="DU294" s="126"/>
      <c r="DV294" s="126"/>
      <c r="DW294" s="126"/>
      <c r="DX294" s="126"/>
      <c r="DY294" s="126"/>
      <c r="DZ294" s="126"/>
      <c r="EA294" s="126"/>
      <c r="EB294" s="126"/>
      <c r="EC294" s="126"/>
      <c r="ED294" s="126"/>
      <c r="EE294" s="126"/>
      <c r="EF294" s="126"/>
      <c r="EG294" s="126"/>
      <c r="EH294" s="126"/>
      <c r="EI294" s="126"/>
      <c r="EJ294" s="126"/>
      <c r="EK294" s="126"/>
      <c r="EL294" s="126"/>
      <c r="EM294" s="126"/>
      <c r="EN294" s="126"/>
    </row>
    <row r="295" spans="2:145" s="114" customFormat="1" ht="41.25" customHeight="1">
      <c r="B295" s="327" t="s">
        <v>407</v>
      </c>
      <c r="C295" s="799" t="s">
        <v>415</v>
      </c>
      <c r="D295" s="800"/>
      <c r="E295" s="800"/>
      <c r="F295" s="800"/>
      <c r="G295" s="800"/>
      <c r="H295" s="800"/>
      <c r="I295" s="800"/>
      <c r="J295" s="800"/>
      <c r="K295" s="800"/>
      <c r="L295" s="800"/>
      <c r="M295" s="800"/>
      <c r="N295" s="801"/>
      <c r="O295" s="288"/>
      <c r="P295" s="382"/>
      <c r="Q295" s="382"/>
      <c r="R295" s="382"/>
      <c r="S295" s="382"/>
      <c r="T295" s="382"/>
      <c r="U295" s="382"/>
      <c r="V295" s="382"/>
      <c r="W295" s="382"/>
      <c r="X295" s="364"/>
      <c r="Y295" s="364"/>
      <c r="Z295" s="364"/>
      <c r="AA295" s="364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  <c r="AP295" s="126"/>
      <c r="AQ295" s="126"/>
      <c r="AR295" s="126"/>
      <c r="AS295" s="126"/>
      <c r="AT295" s="126"/>
      <c r="AU295" s="126"/>
      <c r="AV295" s="126"/>
      <c r="AW295" s="126"/>
      <c r="AX295" s="126"/>
      <c r="AY295" s="126"/>
      <c r="AZ295" s="126"/>
      <c r="BA295" s="126"/>
      <c r="BB295" s="126"/>
      <c r="BC295" s="126"/>
      <c r="BD295" s="126"/>
      <c r="BE295" s="126"/>
      <c r="BF295" s="126"/>
      <c r="BG295" s="126"/>
      <c r="BH295" s="126"/>
      <c r="BI295" s="126"/>
      <c r="BJ295" s="126"/>
      <c r="BK295" s="126"/>
      <c r="BL295" s="126"/>
      <c r="BM295" s="126"/>
      <c r="BN295" s="126"/>
      <c r="BO295" s="126"/>
      <c r="BP295" s="126"/>
      <c r="BQ295" s="126"/>
      <c r="BR295" s="126"/>
      <c r="BS295" s="126"/>
      <c r="BT295" s="126"/>
      <c r="BU295" s="126"/>
      <c r="BV295" s="126"/>
      <c r="BW295" s="126"/>
      <c r="BX295" s="126"/>
      <c r="BY295" s="126"/>
      <c r="BZ295" s="126"/>
      <c r="CA295" s="126"/>
      <c r="CB295" s="126"/>
      <c r="CC295" s="126"/>
      <c r="CD295" s="126"/>
      <c r="CE295" s="126"/>
      <c r="CF295" s="126"/>
      <c r="CG295" s="126"/>
      <c r="CH295" s="126"/>
      <c r="CI295" s="126"/>
      <c r="CJ295" s="126"/>
      <c r="CK295" s="126"/>
      <c r="CL295" s="126"/>
      <c r="CM295" s="126"/>
      <c r="CN295" s="126"/>
      <c r="CO295" s="126"/>
      <c r="CP295" s="126"/>
      <c r="CQ295" s="126"/>
      <c r="CR295" s="126"/>
      <c r="CS295" s="126"/>
      <c r="CT295" s="126"/>
      <c r="CU295" s="126"/>
      <c r="CV295" s="126"/>
      <c r="CW295" s="126"/>
      <c r="CX295" s="126"/>
      <c r="CY295" s="126"/>
      <c r="CZ295" s="126"/>
      <c r="DA295" s="126"/>
      <c r="DB295" s="126"/>
      <c r="DC295" s="126"/>
      <c r="DD295" s="126"/>
      <c r="DE295" s="126"/>
      <c r="DF295" s="126"/>
      <c r="DG295" s="126"/>
      <c r="DH295" s="126"/>
      <c r="DI295" s="126"/>
      <c r="DJ295" s="126"/>
      <c r="DK295" s="126"/>
      <c r="DL295" s="126"/>
      <c r="DM295" s="126"/>
      <c r="DN295" s="126"/>
      <c r="DO295" s="126"/>
      <c r="DP295" s="126"/>
      <c r="DQ295" s="126"/>
      <c r="DR295" s="126"/>
      <c r="DS295" s="126"/>
      <c r="DT295" s="126"/>
      <c r="DU295" s="126"/>
      <c r="DV295" s="126"/>
      <c r="DW295" s="126"/>
      <c r="DX295" s="126"/>
      <c r="DY295" s="126"/>
      <c r="DZ295" s="126"/>
      <c r="EA295" s="126"/>
      <c r="EB295" s="126"/>
      <c r="EC295" s="126"/>
      <c r="ED295" s="126"/>
      <c r="EE295" s="126"/>
      <c r="EF295" s="126"/>
      <c r="EG295" s="126"/>
      <c r="EH295" s="126"/>
      <c r="EI295" s="126"/>
      <c r="EJ295" s="126"/>
      <c r="EK295" s="126"/>
      <c r="EL295" s="126"/>
      <c r="EM295" s="126"/>
      <c r="EN295" s="126"/>
    </row>
    <row r="296" spans="2:145" s="59" customFormat="1" ht="64.5" customHeight="1">
      <c r="B296" s="89" t="s">
        <v>408</v>
      </c>
      <c r="C296" s="194" t="s">
        <v>686</v>
      </c>
      <c r="D296" s="89" t="s">
        <v>331</v>
      </c>
      <c r="E296" s="728">
        <v>17378729</v>
      </c>
      <c r="F296" s="728">
        <v>17219697.32</v>
      </c>
      <c r="G296" s="106">
        <f>(F296/E296)*100</f>
        <v>99.084906151652405</v>
      </c>
      <c r="H296" s="526">
        <f>G296/100</f>
        <v>0.99084906151652408</v>
      </c>
      <c r="I296" s="194" t="s">
        <v>412</v>
      </c>
      <c r="J296" s="106" t="s">
        <v>346</v>
      </c>
      <c r="K296" s="286">
        <v>26.88</v>
      </c>
      <c r="L296" s="286">
        <v>26.88</v>
      </c>
      <c r="M296" s="197">
        <f>L296/K296*100</f>
        <v>100</v>
      </c>
      <c r="N296" s="253">
        <v>1</v>
      </c>
      <c r="O296" s="288"/>
      <c r="P296" s="382"/>
      <c r="Q296" s="382"/>
      <c r="R296" s="382"/>
      <c r="S296" s="382"/>
      <c r="T296" s="382"/>
      <c r="U296" s="382"/>
      <c r="V296" s="382"/>
      <c r="W296" s="382"/>
      <c r="X296" s="382"/>
      <c r="Y296" s="382"/>
      <c r="Z296" s="382"/>
      <c r="AA296" s="382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  <c r="EC296" s="124"/>
      <c r="ED296" s="124"/>
      <c r="EE296" s="124"/>
      <c r="EF296" s="124"/>
      <c r="EG296" s="124"/>
      <c r="EH296" s="124"/>
      <c r="EI296" s="124"/>
      <c r="EJ296" s="124"/>
      <c r="EK296" s="124"/>
      <c r="EL296" s="124"/>
      <c r="EM296" s="124"/>
      <c r="EN296" s="124"/>
    </row>
    <row r="297" spans="2:145" s="59" customFormat="1" ht="61.5" customHeight="1">
      <c r="B297" s="89" t="s">
        <v>409</v>
      </c>
      <c r="C297" s="194" t="s">
        <v>687</v>
      </c>
      <c r="D297" s="89" t="s">
        <v>331</v>
      </c>
      <c r="E297" s="690">
        <v>3176100</v>
      </c>
      <c r="F297" s="690">
        <v>3176100</v>
      </c>
      <c r="G297" s="106">
        <f t="shared" ref="G297:G299" si="18">(F297/E297)*100</f>
        <v>100</v>
      </c>
      <c r="H297" s="526">
        <f t="shared" ref="H297:H299" si="19">G297/100</f>
        <v>1</v>
      </c>
      <c r="I297" s="194" t="s">
        <v>413</v>
      </c>
      <c r="J297" s="106" t="s">
        <v>346</v>
      </c>
      <c r="K297" s="286">
        <v>0.88</v>
      </c>
      <c r="L297" s="286">
        <v>0.88</v>
      </c>
      <c r="M297" s="197">
        <f>L297/K297*100</f>
        <v>100</v>
      </c>
      <c r="N297" s="253">
        <v>1</v>
      </c>
      <c r="O297" s="289"/>
      <c r="P297" s="177"/>
      <c r="Q297" s="177"/>
      <c r="R297" s="177"/>
      <c r="S297" s="177"/>
      <c r="T297" s="177"/>
      <c r="U297" s="177"/>
      <c r="V297" s="177"/>
      <c r="W297" s="177"/>
      <c r="X297" s="382"/>
      <c r="Y297" s="382"/>
      <c r="Z297" s="382"/>
      <c r="AA297" s="382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  <c r="EC297" s="124"/>
      <c r="ED297" s="124"/>
      <c r="EE297" s="124"/>
      <c r="EF297" s="124"/>
      <c r="EG297" s="124"/>
      <c r="EH297" s="124"/>
      <c r="EI297" s="124"/>
      <c r="EJ297" s="124"/>
      <c r="EK297" s="124"/>
      <c r="EL297" s="124"/>
      <c r="EM297" s="124"/>
      <c r="EN297" s="124"/>
    </row>
    <row r="298" spans="2:145" s="59" customFormat="1" ht="126.75" customHeight="1">
      <c r="B298" s="89" t="s">
        <v>689</v>
      </c>
      <c r="C298" s="194" t="s">
        <v>688</v>
      </c>
      <c r="D298" s="89" t="s">
        <v>331</v>
      </c>
      <c r="E298" s="728">
        <v>19471</v>
      </c>
      <c r="F298" s="728">
        <v>7885.5</v>
      </c>
      <c r="G298" s="106">
        <f t="shared" si="18"/>
        <v>40.4986903600226</v>
      </c>
      <c r="H298" s="526">
        <f t="shared" si="19"/>
        <v>0.40498690360022599</v>
      </c>
      <c r="I298" s="194"/>
      <c r="J298" s="106"/>
      <c r="K298" s="286"/>
      <c r="L298" s="286"/>
      <c r="M298" s="197"/>
      <c r="N298" s="253"/>
      <c r="O298" s="53"/>
      <c r="P298" s="177"/>
      <c r="Q298" s="177"/>
      <c r="R298" s="177"/>
      <c r="S298" s="177"/>
      <c r="T298" s="177"/>
      <c r="U298" s="177"/>
      <c r="V298" s="177"/>
      <c r="W298" s="177"/>
      <c r="X298" s="382"/>
      <c r="Y298" s="382"/>
      <c r="Z298" s="382"/>
      <c r="AA298" s="382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  <c r="EC298" s="124"/>
      <c r="ED298" s="124"/>
      <c r="EE298" s="124"/>
      <c r="EF298" s="124"/>
      <c r="EG298" s="124"/>
      <c r="EH298" s="124"/>
      <c r="EI298" s="124"/>
      <c r="EJ298" s="124"/>
      <c r="EK298" s="124"/>
      <c r="EL298" s="124"/>
      <c r="EM298" s="124"/>
      <c r="EN298" s="124"/>
    </row>
    <row r="299" spans="2:145" s="59" customFormat="1" ht="99.75" customHeight="1">
      <c r="B299" s="89" t="s">
        <v>690</v>
      </c>
      <c r="C299" s="194" t="s">
        <v>691</v>
      </c>
      <c r="D299" s="89" t="s">
        <v>331</v>
      </c>
      <c r="E299" s="728">
        <v>1163700</v>
      </c>
      <c r="F299" s="728">
        <v>1163700</v>
      </c>
      <c r="G299" s="106">
        <f t="shared" si="18"/>
        <v>100</v>
      </c>
      <c r="H299" s="526">
        <f t="shared" si="19"/>
        <v>1</v>
      </c>
      <c r="I299" s="194"/>
      <c r="J299" s="106"/>
      <c r="K299" s="286"/>
      <c r="L299" s="286"/>
      <c r="M299" s="197"/>
      <c r="N299" s="253"/>
      <c r="O299" s="289"/>
      <c r="P299" s="177"/>
      <c r="Q299" s="177"/>
      <c r="R299" s="177"/>
      <c r="S299" s="177"/>
      <c r="T299" s="177"/>
      <c r="U299" s="177"/>
      <c r="V299" s="177"/>
      <c r="W299" s="177"/>
      <c r="X299" s="382"/>
      <c r="Y299" s="382"/>
      <c r="Z299" s="382"/>
      <c r="AA299" s="382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  <c r="EC299" s="124"/>
      <c r="ED299" s="124"/>
      <c r="EE299" s="124"/>
      <c r="EF299" s="124"/>
      <c r="EG299" s="124"/>
      <c r="EH299" s="124"/>
      <c r="EI299" s="124"/>
      <c r="EJ299" s="124"/>
      <c r="EK299" s="124"/>
      <c r="EL299" s="124"/>
      <c r="EM299" s="124"/>
      <c r="EN299" s="124"/>
    </row>
    <row r="300" spans="2:145" s="340" customFormat="1" ht="30.75" customHeight="1">
      <c r="B300" s="341"/>
      <c r="C300" s="196" t="s">
        <v>24</v>
      </c>
      <c r="D300" s="341"/>
      <c r="E300" s="339">
        <f>E297+E296+E298+E299</f>
        <v>21738000</v>
      </c>
      <c r="F300" s="339">
        <f>F297+F296+F298+F299</f>
        <v>21567382.82</v>
      </c>
      <c r="G300" s="528">
        <f>(F300/E300)*100</f>
        <v>99.215120158248226</v>
      </c>
      <c r="H300" s="529">
        <v>1</v>
      </c>
      <c r="I300" s="342"/>
      <c r="J300" s="343"/>
      <c r="K300" s="344"/>
      <c r="L300" s="345"/>
      <c r="M300" s="527">
        <f>(M296+M297)/2</f>
        <v>100</v>
      </c>
      <c r="N300" s="592">
        <f>M300/100</f>
        <v>1</v>
      </c>
      <c r="O300" s="346"/>
      <c r="P300" s="177"/>
      <c r="Q300" s="177"/>
      <c r="R300" s="177"/>
      <c r="S300" s="177"/>
      <c r="T300" s="177"/>
      <c r="U300" s="177"/>
      <c r="V300" s="177"/>
      <c r="W300" s="177"/>
      <c r="X300" s="382"/>
      <c r="Y300" s="382"/>
      <c r="Z300" s="382"/>
      <c r="AA300" s="382"/>
      <c r="AB300" s="347"/>
      <c r="AC300" s="347"/>
      <c r="AD300" s="347"/>
      <c r="AE300" s="347"/>
      <c r="AF300" s="347"/>
      <c r="AG300" s="347"/>
      <c r="AH300" s="347"/>
      <c r="AI300" s="347"/>
      <c r="AJ300" s="347"/>
      <c r="AK300" s="347"/>
      <c r="AL300" s="347"/>
      <c r="AM300" s="347"/>
      <c r="AN300" s="347"/>
      <c r="AO300" s="347"/>
      <c r="AP300" s="347"/>
      <c r="AQ300" s="347"/>
      <c r="AR300" s="347"/>
      <c r="AS300" s="347"/>
      <c r="AT300" s="347"/>
      <c r="AU300" s="347"/>
      <c r="AV300" s="347"/>
      <c r="AW300" s="347"/>
      <c r="AX300" s="347"/>
      <c r="AY300" s="347"/>
      <c r="AZ300" s="347"/>
      <c r="BA300" s="347"/>
      <c r="BB300" s="347"/>
      <c r="BC300" s="347"/>
      <c r="BD300" s="347"/>
      <c r="BE300" s="347"/>
      <c r="BF300" s="347"/>
      <c r="BG300" s="347"/>
      <c r="BH300" s="347"/>
      <c r="BI300" s="347"/>
      <c r="BJ300" s="347"/>
      <c r="BK300" s="347"/>
      <c r="BL300" s="347"/>
      <c r="BM300" s="347"/>
      <c r="BN300" s="347"/>
      <c r="BO300" s="347"/>
      <c r="BP300" s="347"/>
      <c r="BQ300" s="347"/>
      <c r="BR300" s="347"/>
      <c r="BS300" s="347"/>
      <c r="BT300" s="347"/>
      <c r="BU300" s="347"/>
      <c r="BV300" s="347"/>
      <c r="BW300" s="347"/>
      <c r="BX300" s="347"/>
      <c r="BY300" s="347"/>
      <c r="BZ300" s="347"/>
      <c r="CA300" s="347"/>
      <c r="CB300" s="347"/>
      <c r="CC300" s="347"/>
      <c r="CD300" s="347"/>
      <c r="CE300" s="347"/>
      <c r="CF300" s="347"/>
      <c r="CG300" s="347"/>
      <c r="CH300" s="347"/>
      <c r="CI300" s="347"/>
      <c r="CJ300" s="347"/>
      <c r="CK300" s="347"/>
      <c r="CL300" s="347"/>
      <c r="CM300" s="347"/>
      <c r="CN300" s="347"/>
      <c r="CO300" s="347"/>
      <c r="CP300" s="347"/>
      <c r="CQ300" s="347"/>
      <c r="CR300" s="347"/>
      <c r="CS300" s="347"/>
      <c r="CT300" s="347"/>
      <c r="CU300" s="347"/>
      <c r="CV300" s="347"/>
      <c r="CW300" s="347"/>
      <c r="CX300" s="347"/>
      <c r="CY300" s="347"/>
      <c r="CZ300" s="347"/>
      <c r="DA300" s="347"/>
      <c r="DB300" s="347"/>
      <c r="DC300" s="347"/>
      <c r="DD300" s="347"/>
      <c r="DE300" s="347"/>
      <c r="DF300" s="347"/>
      <c r="DG300" s="347"/>
      <c r="DH300" s="347"/>
      <c r="DI300" s="347"/>
      <c r="DJ300" s="347"/>
      <c r="DK300" s="347"/>
      <c r="DL300" s="347"/>
      <c r="DM300" s="347"/>
      <c r="DN300" s="347"/>
      <c r="DO300" s="347"/>
      <c r="DP300" s="347"/>
      <c r="DQ300" s="347"/>
      <c r="DR300" s="347"/>
      <c r="DS300" s="347"/>
      <c r="DT300" s="347"/>
      <c r="DU300" s="347"/>
      <c r="DV300" s="347"/>
      <c r="DW300" s="347"/>
      <c r="DX300" s="347"/>
      <c r="DY300" s="347"/>
      <c r="DZ300" s="347"/>
      <c r="EA300" s="347"/>
      <c r="EB300" s="347"/>
      <c r="EC300" s="347"/>
      <c r="ED300" s="347"/>
      <c r="EE300" s="347"/>
      <c r="EF300" s="347"/>
      <c r="EG300" s="347"/>
      <c r="EH300" s="347"/>
      <c r="EI300" s="347"/>
      <c r="EJ300" s="347"/>
      <c r="EK300" s="347"/>
      <c r="EL300" s="347"/>
      <c r="EM300" s="347"/>
      <c r="EN300" s="347"/>
    </row>
    <row r="301" spans="2:145" s="189" customFormat="1" ht="49.5" customHeight="1">
      <c r="B301" s="24"/>
      <c r="C301" s="811" t="s">
        <v>410</v>
      </c>
      <c r="D301" s="812"/>
      <c r="E301" s="812"/>
      <c r="F301" s="812"/>
      <c r="G301" s="812"/>
      <c r="H301" s="812"/>
      <c r="I301" s="812"/>
      <c r="J301" s="812"/>
      <c r="K301" s="812"/>
      <c r="L301" s="812"/>
      <c r="M301" s="812"/>
      <c r="N301" s="813"/>
      <c r="O301" s="288"/>
      <c r="P301" s="364"/>
      <c r="Q301" s="364"/>
      <c r="R301" s="364"/>
      <c r="S301" s="364"/>
      <c r="T301" s="364"/>
      <c r="U301" s="364"/>
      <c r="V301" s="364"/>
      <c r="W301" s="364"/>
      <c r="X301" s="388"/>
      <c r="Y301" s="388"/>
      <c r="Z301" s="388"/>
      <c r="AA301" s="38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38"/>
      <c r="BW301" s="238"/>
      <c r="BX301" s="238"/>
      <c r="BY301" s="238"/>
      <c r="BZ301" s="238"/>
      <c r="CA301" s="238"/>
      <c r="CB301" s="238"/>
      <c r="CC301" s="238"/>
      <c r="CD301" s="238"/>
      <c r="CE301" s="238"/>
      <c r="CF301" s="238"/>
      <c r="CG301" s="238"/>
      <c r="CH301" s="238"/>
      <c r="CI301" s="238"/>
      <c r="CJ301" s="238"/>
      <c r="CK301" s="238"/>
      <c r="CL301" s="238"/>
      <c r="CM301" s="238"/>
      <c r="CN301" s="238"/>
      <c r="CO301" s="238"/>
      <c r="CP301" s="238"/>
      <c r="CQ301" s="238"/>
      <c r="CR301" s="238"/>
      <c r="CS301" s="238"/>
      <c r="CT301" s="238"/>
      <c r="CU301" s="238"/>
      <c r="CV301" s="238"/>
      <c r="CW301" s="238"/>
      <c r="CX301" s="238"/>
      <c r="CY301" s="238"/>
      <c r="CZ301" s="238"/>
      <c r="DA301" s="238"/>
      <c r="DB301" s="238"/>
      <c r="DC301" s="238"/>
      <c r="DD301" s="238"/>
      <c r="DE301" s="238"/>
      <c r="DF301" s="238"/>
      <c r="DG301" s="238"/>
      <c r="DH301" s="238"/>
      <c r="DI301" s="238"/>
      <c r="DJ301" s="238"/>
      <c r="DK301" s="238"/>
      <c r="DL301" s="238"/>
      <c r="DM301" s="238"/>
      <c r="DN301" s="238"/>
      <c r="DO301" s="238"/>
      <c r="DP301" s="238"/>
      <c r="DQ301" s="238"/>
      <c r="DR301" s="238"/>
      <c r="DS301" s="238"/>
      <c r="DT301" s="238"/>
      <c r="DU301" s="238"/>
      <c r="DV301" s="238"/>
      <c r="DW301" s="238"/>
      <c r="DX301" s="238"/>
      <c r="DY301" s="238"/>
      <c r="DZ301" s="238"/>
      <c r="EA301" s="238"/>
      <c r="EB301" s="238"/>
      <c r="EC301" s="238"/>
      <c r="ED301" s="238"/>
      <c r="EE301" s="238"/>
      <c r="EF301" s="238"/>
      <c r="EG301" s="238"/>
      <c r="EH301" s="238"/>
      <c r="EI301" s="238"/>
      <c r="EJ301" s="238"/>
      <c r="EK301" s="238"/>
      <c r="EL301" s="238"/>
      <c r="EM301" s="238"/>
      <c r="EN301" s="238"/>
    </row>
    <row r="302" spans="2:145" s="114" customFormat="1" ht="31.5" customHeight="1">
      <c r="B302" s="193"/>
      <c r="C302" s="799" t="s">
        <v>416</v>
      </c>
      <c r="D302" s="800"/>
      <c r="E302" s="800"/>
      <c r="F302" s="800"/>
      <c r="G302" s="800"/>
      <c r="H302" s="800"/>
      <c r="I302" s="800"/>
      <c r="J302" s="800"/>
      <c r="K302" s="800"/>
      <c r="L302" s="800"/>
      <c r="M302" s="800"/>
      <c r="N302" s="801"/>
      <c r="O302" s="288"/>
      <c r="P302" s="364"/>
      <c r="Q302" s="364"/>
      <c r="R302" s="364"/>
      <c r="S302" s="364"/>
      <c r="T302" s="364"/>
      <c r="U302" s="364"/>
      <c r="V302" s="364"/>
      <c r="W302" s="364"/>
      <c r="X302" s="364"/>
      <c r="Y302" s="364"/>
      <c r="Z302" s="364"/>
      <c r="AA302" s="364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  <c r="AP302" s="126"/>
      <c r="AQ302" s="126"/>
      <c r="AR302" s="126"/>
      <c r="AS302" s="126"/>
      <c r="AT302" s="126"/>
      <c r="AU302" s="126"/>
      <c r="AV302" s="126"/>
      <c r="AW302" s="126"/>
      <c r="AX302" s="126"/>
      <c r="AY302" s="126"/>
      <c r="AZ302" s="126"/>
      <c r="BA302" s="126"/>
      <c r="BB302" s="126"/>
      <c r="BC302" s="126"/>
      <c r="BD302" s="126"/>
      <c r="BE302" s="126"/>
      <c r="BF302" s="126"/>
      <c r="BG302" s="126"/>
      <c r="BH302" s="126"/>
      <c r="BI302" s="126"/>
      <c r="BJ302" s="126"/>
      <c r="BK302" s="126"/>
      <c r="BL302" s="126"/>
      <c r="BM302" s="126"/>
      <c r="BN302" s="126"/>
      <c r="BO302" s="126"/>
      <c r="BP302" s="126"/>
      <c r="BQ302" s="126"/>
      <c r="BR302" s="126"/>
      <c r="BS302" s="126"/>
      <c r="BT302" s="126"/>
      <c r="BU302" s="126"/>
      <c r="BV302" s="126"/>
      <c r="BW302" s="126"/>
      <c r="BX302" s="126"/>
      <c r="BY302" s="126"/>
      <c r="BZ302" s="126"/>
      <c r="CA302" s="126"/>
      <c r="CB302" s="126"/>
      <c r="CC302" s="126"/>
      <c r="CD302" s="126"/>
      <c r="CE302" s="126"/>
      <c r="CF302" s="126"/>
      <c r="CG302" s="126"/>
      <c r="CH302" s="126"/>
      <c r="CI302" s="126"/>
      <c r="CJ302" s="126"/>
      <c r="CK302" s="126"/>
      <c r="CL302" s="126"/>
      <c r="CM302" s="126"/>
      <c r="CN302" s="126"/>
      <c r="CO302" s="126"/>
      <c r="CP302" s="126"/>
      <c r="CQ302" s="126"/>
      <c r="CR302" s="126"/>
      <c r="CS302" s="126"/>
      <c r="CT302" s="126"/>
      <c r="CU302" s="126"/>
      <c r="CV302" s="126"/>
      <c r="CW302" s="126"/>
      <c r="CX302" s="126"/>
      <c r="CY302" s="126"/>
      <c r="CZ302" s="126"/>
      <c r="DA302" s="126"/>
      <c r="DB302" s="126"/>
      <c r="DC302" s="126"/>
      <c r="DD302" s="126"/>
      <c r="DE302" s="126"/>
      <c r="DF302" s="126"/>
      <c r="DG302" s="126"/>
      <c r="DH302" s="126"/>
      <c r="DI302" s="126"/>
      <c r="DJ302" s="126"/>
      <c r="DK302" s="126"/>
      <c r="DL302" s="126"/>
      <c r="DM302" s="126"/>
      <c r="DN302" s="126"/>
      <c r="DO302" s="126"/>
      <c r="DP302" s="126"/>
      <c r="DQ302" s="126"/>
      <c r="DR302" s="126"/>
      <c r="DS302" s="126"/>
      <c r="DT302" s="126"/>
      <c r="DU302" s="126"/>
      <c r="DV302" s="126"/>
      <c r="DW302" s="126"/>
      <c r="DX302" s="126"/>
      <c r="DY302" s="126"/>
      <c r="DZ302" s="126"/>
      <c r="EA302" s="126"/>
      <c r="EB302" s="126"/>
      <c r="EC302" s="126"/>
      <c r="ED302" s="126"/>
      <c r="EE302" s="126"/>
      <c r="EF302" s="126"/>
      <c r="EG302" s="126"/>
      <c r="EH302" s="126"/>
      <c r="EI302" s="126"/>
      <c r="EJ302" s="126"/>
      <c r="EK302" s="126"/>
      <c r="EL302" s="126"/>
      <c r="EM302" s="126"/>
      <c r="EN302" s="126"/>
    </row>
    <row r="303" spans="2:145" s="114" customFormat="1" ht="41.25" customHeight="1">
      <c r="B303" s="327" t="s">
        <v>418</v>
      </c>
      <c r="C303" s="799" t="s">
        <v>417</v>
      </c>
      <c r="D303" s="800"/>
      <c r="E303" s="800"/>
      <c r="F303" s="800"/>
      <c r="G303" s="800"/>
      <c r="H303" s="800"/>
      <c r="I303" s="800"/>
      <c r="J303" s="800"/>
      <c r="K303" s="800"/>
      <c r="L303" s="800"/>
      <c r="M303" s="800"/>
      <c r="N303" s="801"/>
      <c r="O303" s="288"/>
      <c r="P303" s="382"/>
      <c r="Q303" s="382"/>
      <c r="R303" s="382"/>
      <c r="S303" s="382"/>
      <c r="T303" s="382"/>
      <c r="U303" s="382"/>
      <c r="V303" s="382"/>
      <c r="W303" s="382"/>
      <c r="X303" s="364"/>
      <c r="Y303" s="364"/>
      <c r="Z303" s="364"/>
      <c r="AA303" s="364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  <c r="AP303" s="126"/>
      <c r="AQ303" s="126"/>
      <c r="AR303" s="126"/>
      <c r="AS303" s="126"/>
      <c r="AT303" s="126"/>
      <c r="AU303" s="126"/>
      <c r="AV303" s="126"/>
      <c r="AW303" s="126"/>
      <c r="AX303" s="126"/>
      <c r="AY303" s="126"/>
      <c r="AZ303" s="126"/>
      <c r="BA303" s="126"/>
      <c r="BB303" s="126"/>
      <c r="BC303" s="126"/>
      <c r="BD303" s="126"/>
      <c r="BE303" s="126"/>
      <c r="BF303" s="126"/>
      <c r="BG303" s="126"/>
      <c r="BH303" s="126"/>
      <c r="BI303" s="126"/>
      <c r="BJ303" s="126"/>
      <c r="BK303" s="126"/>
      <c r="BL303" s="126"/>
      <c r="BM303" s="126"/>
      <c r="BN303" s="126"/>
      <c r="BO303" s="126"/>
      <c r="BP303" s="126"/>
      <c r="BQ303" s="126"/>
      <c r="BR303" s="126"/>
      <c r="BS303" s="126"/>
      <c r="BT303" s="126"/>
      <c r="BU303" s="126"/>
      <c r="BV303" s="126"/>
      <c r="BW303" s="126"/>
      <c r="BX303" s="126"/>
      <c r="BY303" s="126"/>
      <c r="BZ303" s="126"/>
      <c r="CA303" s="126"/>
      <c r="CB303" s="126"/>
      <c r="CC303" s="126"/>
      <c r="CD303" s="126"/>
      <c r="CE303" s="126"/>
      <c r="CF303" s="126"/>
      <c r="CG303" s="126"/>
      <c r="CH303" s="126"/>
      <c r="CI303" s="126"/>
      <c r="CJ303" s="126"/>
      <c r="CK303" s="126"/>
      <c r="CL303" s="126"/>
      <c r="CM303" s="126"/>
      <c r="CN303" s="126"/>
      <c r="CO303" s="126"/>
      <c r="CP303" s="126"/>
      <c r="CQ303" s="126"/>
      <c r="CR303" s="126"/>
      <c r="CS303" s="126"/>
      <c r="CT303" s="126"/>
      <c r="CU303" s="126"/>
      <c r="CV303" s="126"/>
      <c r="CW303" s="126"/>
      <c r="CX303" s="126"/>
      <c r="CY303" s="126"/>
      <c r="CZ303" s="126"/>
      <c r="DA303" s="126"/>
      <c r="DB303" s="126"/>
      <c r="DC303" s="126"/>
      <c r="DD303" s="126"/>
      <c r="DE303" s="126"/>
      <c r="DF303" s="126"/>
      <c r="DG303" s="126"/>
      <c r="DH303" s="126"/>
      <c r="DI303" s="126"/>
      <c r="DJ303" s="126"/>
      <c r="DK303" s="126"/>
      <c r="DL303" s="126"/>
      <c r="DM303" s="126"/>
      <c r="DN303" s="126"/>
      <c r="DO303" s="126"/>
      <c r="DP303" s="126"/>
      <c r="DQ303" s="126"/>
      <c r="DR303" s="126"/>
      <c r="DS303" s="126"/>
      <c r="DT303" s="126"/>
      <c r="DU303" s="126"/>
      <c r="DV303" s="126"/>
      <c r="DW303" s="126"/>
      <c r="DX303" s="126"/>
      <c r="DY303" s="126"/>
      <c r="DZ303" s="126"/>
      <c r="EA303" s="126"/>
      <c r="EB303" s="126"/>
      <c r="EC303" s="126"/>
      <c r="ED303" s="126"/>
      <c r="EE303" s="126"/>
      <c r="EF303" s="126"/>
      <c r="EG303" s="126"/>
      <c r="EH303" s="126"/>
      <c r="EI303" s="126"/>
      <c r="EJ303" s="126"/>
      <c r="EK303" s="126"/>
      <c r="EL303" s="126"/>
      <c r="EM303" s="126"/>
      <c r="EN303" s="126"/>
    </row>
    <row r="304" spans="2:145" s="177" customFormat="1" ht="61.5" customHeight="1">
      <c r="B304" s="48" t="s">
        <v>419</v>
      </c>
      <c r="C304" s="49" t="s">
        <v>694</v>
      </c>
      <c r="D304" s="550" t="s">
        <v>333</v>
      </c>
      <c r="E304" s="348">
        <v>0</v>
      </c>
      <c r="F304" s="348">
        <v>0</v>
      </c>
      <c r="G304" s="51">
        <v>0</v>
      </c>
      <c r="H304" s="446">
        <v>0</v>
      </c>
      <c r="I304" s="325" t="s">
        <v>420</v>
      </c>
      <c r="J304" s="12" t="s">
        <v>23</v>
      </c>
      <c r="K304" s="257">
        <v>0</v>
      </c>
      <c r="L304" s="257">
        <v>0</v>
      </c>
      <c r="M304" s="350">
        <v>0</v>
      </c>
      <c r="N304" s="349">
        <v>0</v>
      </c>
      <c r="O304" s="338"/>
    </row>
    <row r="305" spans="1:144" s="177" customFormat="1" ht="78.75" customHeight="1">
      <c r="B305" s="48" t="s">
        <v>692</v>
      </c>
      <c r="C305" s="49" t="s">
        <v>695</v>
      </c>
      <c r="D305" s="550" t="s">
        <v>333</v>
      </c>
      <c r="E305" s="348">
        <v>0</v>
      </c>
      <c r="F305" s="348">
        <v>0</v>
      </c>
      <c r="G305" s="51">
        <v>0</v>
      </c>
      <c r="H305" s="446">
        <v>0</v>
      </c>
      <c r="I305" s="325" t="s">
        <v>421</v>
      </c>
      <c r="J305" s="12" t="s">
        <v>23</v>
      </c>
      <c r="K305" s="257">
        <v>0</v>
      </c>
      <c r="L305" s="257">
        <v>0</v>
      </c>
      <c r="M305" s="350">
        <v>0</v>
      </c>
      <c r="N305" s="349">
        <v>0</v>
      </c>
      <c r="O305" s="53"/>
    </row>
    <row r="306" spans="1:144" s="177" customFormat="1" ht="78.75" customHeight="1">
      <c r="B306" s="48" t="s">
        <v>693</v>
      </c>
      <c r="C306" s="49" t="s">
        <v>696</v>
      </c>
      <c r="D306" s="550" t="s">
        <v>333</v>
      </c>
      <c r="E306" s="348">
        <v>0</v>
      </c>
      <c r="F306" s="348">
        <v>0</v>
      </c>
      <c r="G306" s="51">
        <v>0</v>
      </c>
      <c r="H306" s="446">
        <v>0</v>
      </c>
      <c r="I306" s="367"/>
      <c r="J306" s="12"/>
      <c r="K306" s="257"/>
      <c r="L306" s="257"/>
      <c r="M306" s="350"/>
      <c r="N306" s="349"/>
      <c r="O306" s="53"/>
    </row>
    <row r="307" spans="1:144" s="177" customFormat="1" ht="32.25" customHeight="1">
      <c r="B307" s="332"/>
      <c r="C307" s="333" t="s">
        <v>40</v>
      </c>
      <c r="D307" s="410"/>
      <c r="E307" s="351">
        <f>E304</f>
        <v>0</v>
      </c>
      <c r="F307" s="351">
        <f>F304</f>
        <v>0</v>
      </c>
      <c r="G307" s="531">
        <v>0</v>
      </c>
      <c r="H307" s="447">
        <v>0</v>
      </c>
      <c r="I307" s="334"/>
      <c r="J307" s="335"/>
      <c r="K307" s="336"/>
      <c r="L307" s="337"/>
      <c r="M307" s="532">
        <v>0</v>
      </c>
      <c r="N307" s="530">
        <v>0</v>
      </c>
      <c r="O307" s="338"/>
    </row>
    <row r="308" spans="1:144" s="569" customFormat="1" ht="36.75" customHeight="1">
      <c r="B308" s="729"/>
      <c r="C308" s="730" t="s">
        <v>224</v>
      </c>
      <c r="D308" s="731"/>
      <c r="E308" s="732">
        <f>E307+E300+E292</f>
        <v>23837000</v>
      </c>
      <c r="F308" s="732">
        <f>F307+F300+F292</f>
        <v>23666382.82</v>
      </c>
      <c r="G308" s="733">
        <f>(F308/E308)*100</f>
        <v>99.284233838150769</v>
      </c>
      <c r="H308" s="734">
        <v>1</v>
      </c>
      <c r="I308" s="881" t="s">
        <v>810</v>
      </c>
      <c r="J308" s="882"/>
      <c r="K308" s="882"/>
      <c r="L308" s="883"/>
      <c r="M308" s="735">
        <f>(M300+M292)/2</f>
        <v>100</v>
      </c>
      <c r="N308" s="736">
        <v>1</v>
      </c>
      <c r="O308" s="568"/>
    </row>
    <row r="309" spans="1:144" s="127" customFormat="1" ht="34.5" customHeight="1">
      <c r="B309" s="520"/>
      <c r="C309" s="162" t="s">
        <v>516</v>
      </c>
      <c r="D309" s="500" t="s">
        <v>520</v>
      </c>
      <c r="E309" s="522">
        <v>0</v>
      </c>
      <c r="F309" s="522">
        <v>0</v>
      </c>
      <c r="G309" s="429"/>
      <c r="H309" s="437"/>
      <c r="I309" s="434"/>
      <c r="J309" s="434"/>
      <c r="K309" s="280"/>
      <c r="L309" s="280"/>
      <c r="M309" s="116"/>
      <c r="N309" s="521"/>
      <c r="O309" s="288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</row>
    <row r="310" spans="1:144" s="127" customFormat="1" ht="32.25" customHeight="1">
      <c r="B310" s="520"/>
      <c r="C310" s="162" t="s">
        <v>517</v>
      </c>
      <c r="D310" s="500" t="s">
        <v>329</v>
      </c>
      <c r="E310" s="713">
        <f>2099*1000</f>
        <v>2099000</v>
      </c>
      <c r="F310" s="713">
        <f>2099*1000</f>
        <v>2099000</v>
      </c>
      <c r="G310" s="429"/>
      <c r="H310" s="437"/>
      <c r="I310" s="434"/>
      <c r="J310" s="434"/>
      <c r="K310" s="280"/>
      <c r="L310" s="280"/>
      <c r="M310" s="116"/>
      <c r="N310" s="521"/>
      <c r="O310" s="288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</row>
    <row r="311" spans="1:144" s="127" customFormat="1" ht="29.25" customHeight="1">
      <c r="B311" s="520"/>
      <c r="C311" s="162" t="s">
        <v>518</v>
      </c>
      <c r="D311" s="500" t="s">
        <v>521</v>
      </c>
      <c r="E311" s="713">
        <f>21579*1000</f>
        <v>21579000</v>
      </c>
      <c r="F311" s="713">
        <f>21579*1000</f>
        <v>21579000</v>
      </c>
      <c r="G311" s="429"/>
      <c r="H311" s="437"/>
      <c r="I311" s="434"/>
      <c r="J311" s="434"/>
      <c r="K311" s="280"/>
      <c r="L311" s="280"/>
      <c r="M311" s="116"/>
      <c r="N311" s="521"/>
      <c r="O311" s="288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</row>
    <row r="312" spans="1:144" s="127" customFormat="1" ht="36" customHeight="1">
      <c r="B312" s="520"/>
      <c r="C312" s="162" t="s">
        <v>519</v>
      </c>
      <c r="D312" s="500" t="s">
        <v>533</v>
      </c>
      <c r="E312" s="522">
        <v>0</v>
      </c>
      <c r="F312" s="522">
        <v>0</v>
      </c>
      <c r="G312" s="429"/>
      <c r="H312" s="437"/>
      <c r="I312" s="434"/>
      <c r="J312" s="434"/>
      <c r="K312" s="280"/>
      <c r="L312" s="280"/>
      <c r="M312" s="116"/>
      <c r="N312" s="521"/>
      <c r="O312" s="288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</row>
    <row r="313" spans="1:144" s="127" customFormat="1" ht="55.5" customHeight="1">
      <c r="B313" s="166"/>
      <c r="C313" s="820" t="s">
        <v>697</v>
      </c>
      <c r="D313" s="836"/>
      <c r="E313" s="836"/>
      <c r="F313" s="836"/>
      <c r="G313" s="836"/>
      <c r="H313" s="836"/>
      <c r="I313" s="836"/>
      <c r="J313" s="836"/>
      <c r="K313" s="836"/>
      <c r="L313" s="836"/>
      <c r="M313" s="836"/>
      <c r="N313" s="837"/>
      <c r="O313" s="288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</row>
    <row r="314" spans="1:144" s="127" customFormat="1" ht="36" customHeight="1">
      <c r="B314" s="539" t="s">
        <v>528</v>
      </c>
      <c r="C314" s="841" t="s">
        <v>538</v>
      </c>
      <c r="D314" s="842"/>
      <c r="E314" s="842"/>
      <c r="F314" s="842"/>
      <c r="G314" s="842"/>
      <c r="H314" s="842"/>
      <c r="I314" s="842"/>
      <c r="J314" s="842"/>
      <c r="K314" s="842"/>
      <c r="L314" s="842"/>
      <c r="M314" s="432"/>
      <c r="N314" s="533"/>
      <c r="O314" s="288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</row>
    <row r="315" spans="1:144" s="127" customFormat="1" ht="25.5" customHeight="1">
      <c r="B315" s="520"/>
      <c r="C315" s="785" t="s">
        <v>225</v>
      </c>
      <c r="D315" s="786"/>
      <c r="E315" s="786"/>
      <c r="F315" s="786"/>
      <c r="G315" s="786"/>
      <c r="H315" s="786"/>
      <c r="I315" s="786"/>
      <c r="J315" s="786"/>
      <c r="K315" s="786"/>
      <c r="L315" s="786"/>
      <c r="M315" s="786"/>
      <c r="N315" s="787"/>
      <c r="O315" s="288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</row>
    <row r="316" spans="1:144" s="127" customFormat="1" ht="23.25" customHeight="1">
      <c r="B316" s="520"/>
      <c r="C316" s="785" t="s">
        <v>226</v>
      </c>
      <c r="D316" s="786"/>
      <c r="E316" s="786"/>
      <c r="F316" s="786"/>
      <c r="G316" s="786"/>
      <c r="H316" s="786"/>
      <c r="I316" s="786"/>
      <c r="J316" s="786"/>
      <c r="K316" s="786"/>
      <c r="L316" s="786"/>
      <c r="M316" s="786"/>
      <c r="N316" s="787"/>
      <c r="O316" s="288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</row>
    <row r="317" spans="1:144" ht="21" customHeight="1">
      <c r="A317" s="7"/>
      <c r="B317" s="15"/>
      <c r="C317" s="785" t="s">
        <v>227</v>
      </c>
      <c r="D317" s="786"/>
      <c r="E317" s="786"/>
      <c r="F317" s="786"/>
      <c r="G317" s="786"/>
      <c r="H317" s="786"/>
      <c r="I317" s="786"/>
      <c r="J317" s="786"/>
      <c r="K317" s="786"/>
      <c r="L317" s="786"/>
      <c r="M317" s="786"/>
      <c r="N317" s="787"/>
    </row>
    <row r="318" spans="1:144" ht="21" customHeight="1">
      <c r="A318" s="7"/>
      <c r="B318" s="15"/>
      <c r="C318" s="785" t="s">
        <v>228</v>
      </c>
      <c r="D318" s="786"/>
      <c r="E318" s="786"/>
      <c r="F318" s="786"/>
      <c r="G318" s="786"/>
      <c r="H318" s="786"/>
      <c r="I318" s="786"/>
      <c r="J318" s="786"/>
      <c r="K318" s="786"/>
      <c r="L318" s="786"/>
      <c r="M318" s="786"/>
      <c r="N318" s="787"/>
    </row>
    <row r="319" spans="1:144" ht="21" customHeight="1">
      <c r="A319" s="7"/>
      <c r="B319" s="15"/>
      <c r="C319" s="785" t="s">
        <v>229</v>
      </c>
      <c r="D319" s="786"/>
      <c r="E319" s="786"/>
      <c r="F319" s="786"/>
      <c r="G319" s="786"/>
      <c r="H319" s="786"/>
      <c r="I319" s="786"/>
      <c r="J319" s="786"/>
      <c r="K319" s="786"/>
      <c r="L319" s="786"/>
      <c r="M319" s="786"/>
      <c r="N319" s="787"/>
    </row>
    <row r="320" spans="1:144" s="139" customFormat="1" ht="51" customHeight="1">
      <c r="B320" s="326" t="s">
        <v>422</v>
      </c>
      <c r="C320" s="791" t="s">
        <v>237</v>
      </c>
      <c r="D320" s="792"/>
      <c r="E320" s="792"/>
      <c r="F320" s="792"/>
      <c r="G320" s="792"/>
      <c r="H320" s="792"/>
      <c r="I320" s="792"/>
      <c r="J320" s="792"/>
      <c r="K320" s="792"/>
      <c r="L320" s="792"/>
      <c r="M320" s="792"/>
      <c r="N320" s="793"/>
      <c r="O320" s="288"/>
      <c r="P320" s="382"/>
      <c r="Q320" s="382"/>
      <c r="R320" s="382"/>
      <c r="S320" s="382"/>
      <c r="T320" s="382"/>
      <c r="U320" s="382"/>
      <c r="V320" s="382"/>
      <c r="W320" s="382"/>
      <c r="X320" s="382"/>
      <c r="Y320" s="382"/>
      <c r="Z320" s="382"/>
      <c r="AA320" s="382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  <c r="EC320" s="124"/>
      <c r="ED320" s="124"/>
      <c r="EE320" s="124"/>
      <c r="EF320" s="124"/>
      <c r="EG320" s="124"/>
      <c r="EH320" s="124"/>
      <c r="EI320" s="124"/>
      <c r="EJ320" s="124"/>
      <c r="EK320" s="124"/>
      <c r="EL320" s="124"/>
      <c r="EM320" s="124"/>
      <c r="EN320" s="124"/>
    </row>
    <row r="321" spans="1:145" s="114" customFormat="1" ht="36" customHeight="1">
      <c r="B321" s="353"/>
      <c r="C321" s="776" t="s">
        <v>236</v>
      </c>
      <c r="D321" s="777"/>
      <c r="E321" s="777"/>
      <c r="F321" s="777"/>
      <c r="G321" s="777"/>
      <c r="H321" s="777"/>
      <c r="I321" s="777"/>
      <c r="J321" s="777"/>
      <c r="K321" s="777"/>
      <c r="L321" s="777"/>
      <c r="M321" s="777"/>
      <c r="N321" s="778"/>
      <c r="O321" s="288"/>
      <c r="P321" s="364"/>
      <c r="Q321" s="364"/>
      <c r="R321" s="364"/>
      <c r="S321" s="364"/>
      <c r="T321" s="364"/>
      <c r="U321" s="364"/>
      <c r="V321" s="364"/>
      <c r="W321" s="364"/>
      <c r="X321" s="364"/>
      <c r="Y321" s="364"/>
      <c r="Z321" s="364"/>
      <c r="AA321" s="364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  <c r="AP321" s="126"/>
      <c r="AQ321" s="126"/>
      <c r="AR321" s="126"/>
      <c r="AS321" s="126"/>
      <c r="AT321" s="126"/>
      <c r="AU321" s="126"/>
      <c r="AV321" s="126"/>
      <c r="AW321" s="126"/>
      <c r="AX321" s="126"/>
      <c r="AY321" s="126"/>
      <c r="AZ321" s="126"/>
      <c r="BA321" s="126"/>
      <c r="BB321" s="126"/>
      <c r="BC321" s="126"/>
      <c r="BD321" s="126"/>
      <c r="BE321" s="126"/>
      <c r="BF321" s="126"/>
      <c r="BG321" s="126"/>
      <c r="BH321" s="126"/>
      <c r="BI321" s="126"/>
      <c r="BJ321" s="126"/>
      <c r="BK321" s="126"/>
      <c r="BL321" s="126"/>
      <c r="BM321" s="126"/>
      <c r="BN321" s="126"/>
      <c r="BO321" s="126"/>
      <c r="BP321" s="126"/>
      <c r="BQ321" s="126"/>
      <c r="BR321" s="126"/>
      <c r="BS321" s="126"/>
      <c r="BT321" s="126"/>
      <c r="BU321" s="126"/>
      <c r="BV321" s="126"/>
      <c r="BW321" s="126"/>
      <c r="BX321" s="126"/>
      <c r="BY321" s="126"/>
      <c r="BZ321" s="126"/>
      <c r="CA321" s="126"/>
      <c r="CB321" s="126"/>
      <c r="CC321" s="126"/>
      <c r="CD321" s="126"/>
      <c r="CE321" s="126"/>
      <c r="CF321" s="126"/>
      <c r="CG321" s="126"/>
      <c r="CH321" s="126"/>
      <c r="CI321" s="126"/>
      <c r="CJ321" s="126"/>
      <c r="CK321" s="126"/>
      <c r="CL321" s="126"/>
      <c r="CM321" s="126"/>
      <c r="CN321" s="126"/>
      <c r="CO321" s="126"/>
      <c r="CP321" s="126"/>
      <c r="CQ321" s="126"/>
      <c r="CR321" s="126"/>
      <c r="CS321" s="126"/>
      <c r="CT321" s="126"/>
      <c r="CU321" s="126"/>
      <c r="CV321" s="126"/>
      <c r="CW321" s="126"/>
      <c r="CX321" s="126"/>
      <c r="CY321" s="126"/>
      <c r="CZ321" s="126"/>
      <c r="DA321" s="126"/>
      <c r="DB321" s="126"/>
      <c r="DC321" s="126"/>
      <c r="DD321" s="126"/>
      <c r="DE321" s="126"/>
      <c r="DF321" s="126"/>
      <c r="DG321" s="126"/>
      <c r="DH321" s="126"/>
      <c r="DI321" s="126"/>
      <c r="DJ321" s="126"/>
      <c r="DK321" s="126"/>
      <c r="DL321" s="126"/>
      <c r="DM321" s="126"/>
      <c r="DN321" s="126"/>
      <c r="DO321" s="126"/>
      <c r="DP321" s="126"/>
      <c r="DQ321" s="126"/>
      <c r="DR321" s="126"/>
      <c r="DS321" s="126"/>
      <c r="DT321" s="126"/>
      <c r="DU321" s="126"/>
      <c r="DV321" s="126"/>
      <c r="DW321" s="126"/>
      <c r="DX321" s="126"/>
      <c r="DY321" s="126"/>
      <c r="DZ321" s="126"/>
      <c r="EA321" s="126"/>
      <c r="EB321" s="126"/>
      <c r="EC321" s="126"/>
      <c r="ED321" s="126"/>
      <c r="EE321" s="126"/>
      <c r="EF321" s="126"/>
      <c r="EG321" s="126"/>
      <c r="EH321" s="126"/>
      <c r="EI321" s="126"/>
      <c r="EJ321" s="126"/>
      <c r="EK321" s="126"/>
      <c r="EL321" s="126"/>
      <c r="EM321" s="126"/>
      <c r="EN321" s="126"/>
    </row>
    <row r="322" spans="1:145" s="114" customFormat="1" ht="29.25" customHeight="1">
      <c r="B322" s="140"/>
      <c r="C322" s="776" t="s">
        <v>230</v>
      </c>
      <c r="D322" s="777"/>
      <c r="E322" s="777"/>
      <c r="F322" s="777"/>
      <c r="G322" s="777"/>
      <c r="H322" s="777"/>
      <c r="I322" s="777"/>
      <c r="J322" s="777"/>
      <c r="K322" s="777"/>
      <c r="L322" s="777"/>
      <c r="M322" s="777"/>
      <c r="N322" s="778"/>
      <c r="O322" s="288"/>
      <c r="P322" s="364"/>
      <c r="Q322" s="364"/>
      <c r="R322" s="364"/>
      <c r="S322" s="364"/>
      <c r="T322" s="364"/>
      <c r="U322" s="364"/>
      <c r="V322" s="364"/>
      <c r="W322" s="364"/>
      <c r="X322" s="364"/>
      <c r="Y322" s="364"/>
      <c r="Z322" s="364"/>
      <c r="AA322" s="364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  <c r="AP322" s="126"/>
      <c r="AQ322" s="126"/>
      <c r="AR322" s="126"/>
      <c r="AS322" s="126"/>
      <c r="AT322" s="126"/>
      <c r="AU322" s="126"/>
      <c r="AV322" s="126"/>
      <c r="AW322" s="126"/>
      <c r="AX322" s="126"/>
      <c r="AY322" s="126"/>
      <c r="AZ322" s="126"/>
      <c r="BA322" s="126"/>
      <c r="BB322" s="126"/>
      <c r="BC322" s="126"/>
      <c r="BD322" s="126"/>
      <c r="BE322" s="126"/>
      <c r="BF322" s="126"/>
      <c r="BG322" s="126"/>
      <c r="BH322" s="126"/>
      <c r="BI322" s="126"/>
      <c r="BJ322" s="126"/>
      <c r="BK322" s="126"/>
      <c r="BL322" s="126"/>
      <c r="BM322" s="126"/>
      <c r="BN322" s="126"/>
      <c r="BO322" s="126"/>
      <c r="BP322" s="126"/>
      <c r="BQ322" s="126"/>
      <c r="BR322" s="126"/>
      <c r="BS322" s="126"/>
      <c r="BT322" s="126"/>
      <c r="BU322" s="126"/>
      <c r="BV322" s="126"/>
      <c r="BW322" s="126"/>
      <c r="BX322" s="126"/>
      <c r="BY322" s="126"/>
      <c r="BZ322" s="126"/>
      <c r="CA322" s="126"/>
      <c r="CB322" s="126"/>
      <c r="CC322" s="126"/>
      <c r="CD322" s="126"/>
      <c r="CE322" s="126"/>
      <c r="CF322" s="126"/>
      <c r="CG322" s="126"/>
      <c r="CH322" s="126"/>
      <c r="CI322" s="126"/>
      <c r="CJ322" s="126"/>
      <c r="CK322" s="126"/>
      <c r="CL322" s="126"/>
      <c r="CM322" s="126"/>
      <c r="CN322" s="126"/>
      <c r="CO322" s="126"/>
      <c r="CP322" s="126"/>
      <c r="CQ322" s="126"/>
      <c r="CR322" s="126"/>
      <c r="CS322" s="126"/>
      <c r="CT322" s="126"/>
      <c r="CU322" s="126"/>
      <c r="CV322" s="126"/>
      <c r="CW322" s="126"/>
      <c r="CX322" s="126"/>
      <c r="CY322" s="126"/>
      <c r="CZ322" s="126"/>
      <c r="DA322" s="126"/>
      <c r="DB322" s="126"/>
      <c r="DC322" s="126"/>
      <c r="DD322" s="126"/>
      <c r="DE322" s="126"/>
      <c r="DF322" s="126"/>
      <c r="DG322" s="126"/>
      <c r="DH322" s="126"/>
      <c r="DI322" s="126"/>
      <c r="DJ322" s="126"/>
      <c r="DK322" s="126"/>
      <c r="DL322" s="126"/>
      <c r="DM322" s="126"/>
      <c r="DN322" s="126"/>
      <c r="DO322" s="126"/>
      <c r="DP322" s="126"/>
      <c r="DQ322" s="126"/>
      <c r="DR322" s="126"/>
      <c r="DS322" s="126"/>
      <c r="DT322" s="126"/>
      <c r="DU322" s="126"/>
      <c r="DV322" s="126"/>
      <c r="DW322" s="126"/>
      <c r="DX322" s="126"/>
      <c r="DY322" s="126"/>
      <c r="DZ322" s="126"/>
      <c r="EA322" s="126"/>
      <c r="EB322" s="126"/>
      <c r="EC322" s="126"/>
      <c r="ED322" s="126"/>
      <c r="EE322" s="126"/>
      <c r="EF322" s="126"/>
      <c r="EG322" s="126"/>
      <c r="EH322" s="126"/>
      <c r="EI322" s="126"/>
      <c r="EJ322" s="126"/>
      <c r="EK322" s="126"/>
      <c r="EL322" s="126"/>
      <c r="EM322" s="126"/>
      <c r="EN322" s="126"/>
    </row>
    <row r="323" spans="1:145" s="114" customFormat="1" ht="30" customHeight="1">
      <c r="B323" s="140"/>
      <c r="C323" s="776" t="s">
        <v>231</v>
      </c>
      <c r="D323" s="777"/>
      <c r="E323" s="777"/>
      <c r="F323" s="777"/>
      <c r="G323" s="777"/>
      <c r="H323" s="777"/>
      <c r="I323" s="777"/>
      <c r="J323" s="777"/>
      <c r="K323" s="777"/>
      <c r="L323" s="777"/>
      <c r="M323" s="777"/>
      <c r="N323" s="778"/>
      <c r="O323" s="288"/>
      <c r="P323" s="364"/>
      <c r="Q323" s="364"/>
      <c r="R323" s="364"/>
      <c r="S323" s="364"/>
      <c r="T323" s="364"/>
      <c r="U323" s="364"/>
      <c r="V323" s="364"/>
      <c r="W323" s="364"/>
      <c r="X323" s="364"/>
      <c r="Y323" s="364"/>
      <c r="Z323" s="364"/>
      <c r="AA323" s="364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  <c r="AP323" s="126"/>
      <c r="AQ323" s="126"/>
      <c r="AR323" s="126"/>
      <c r="AS323" s="126"/>
      <c r="AT323" s="126"/>
      <c r="AU323" s="126"/>
      <c r="AV323" s="126"/>
      <c r="AW323" s="126"/>
      <c r="AX323" s="126"/>
      <c r="AY323" s="126"/>
      <c r="AZ323" s="126"/>
      <c r="BA323" s="126"/>
      <c r="BB323" s="126"/>
      <c r="BC323" s="126"/>
      <c r="BD323" s="126"/>
      <c r="BE323" s="126"/>
      <c r="BF323" s="126"/>
      <c r="BG323" s="126"/>
      <c r="BH323" s="126"/>
      <c r="BI323" s="126"/>
      <c r="BJ323" s="126"/>
      <c r="BK323" s="126"/>
      <c r="BL323" s="126"/>
      <c r="BM323" s="126"/>
      <c r="BN323" s="126"/>
      <c r="BO323" s="126"/>
      <c r="BP323" s="126"/>
      <c r="BQ323" s="126"/>
      <c r="BR323" s="126"/>
      <c r="BS323" s="126"/>
      <c r="BT323" s="126"/>
      <c r="BU323" s="126"/>
      <c r="BV323" s="126"/>
      <c r="BW323" s="126"/>
      <c r="BX323" s="126"/>
      <c r="BY323" s="126"/>
      <c r="BZ323" s="126"/>
      <c r="CA323" s="126"/>
      <c r="CB323" s="126"/>
      <c r="CC323" s="126"/>
      <c r="CD323" s="126"/>
      <c r="CE323" s="126"/>
      <c r="CF323" s="126"/>
      <c r="CG323" s="126"/>
      <c r="CH323" s="126"/>
      <c r="CI323" s="126"/>
      <c r="CJ323" s="126"/>
      <c r="CK323" s="126"/>
      <c r="CL323" s="126"/>
      <c r="CM323" s="126"/>
      <c r="CN323" s="126"/>
      <c r="CO323" s="126"/>
      <c r="CP323" s="126"/>
      <c r="CQ323" s="126"/>
      <c r="CR323" s="126"/>
      <c r="CS323" s="126"/>
      <c r="CT323" s="126"/>
      <c r="CU323" s="126"/>
      <c r="CV323" s="126"/>
      <c r="CW323" s="126"/>
      <c r="CX323" s="126"/>
      <c r="CY323" s="126"/>
      <c r="CZ323" s="126"/>
      <c r="DA323" s="126"/>
      <c r="DB323" s="126"/>
      <c r="DC323" s="126"/>
      <c r="DD323" s="126"/>
      <c r="DE323" s="126"/>
      <c r="DF323" s="126"/>
      <c r="DG323" s="126"/>
      <c r="DH323" s="126"/>
      <c r="DI323" s="126"/>
      <c r="DJ323" s="126"/>
      <c r="DK323" s="126"/>
      <c r="DL323" s="126"/>
      <c r="DM323" s="126"/>
      <c r="DN323" s="126"/>
      <c r="DO323" s="126"/>
      <c r="DP323" s="126"/>
      <c r="DQ323" s="126"/>
      <c r="DR323" s="126"/>
      <c r="DS323" s="126"/>
      <c r="DT323" s="126"/>
      <c r="DU323" s="126"/>
      <c r="DV323" s="126"/>
      <c r="DW323" s="126"/>
      <c r="DX323" s="126"/>
      <c r="DY323" s="126"/>
      <c r="DZ323" s="126"/>
      <c r="EA323" s="126"/>
      <c r="EB323" s="126"/>
      <c r="EC323" s="126"/>
      <c r="ED323" s="126"/>
      <c r="EE323" s="126"/>
      <c r="EF323" s="126"/>
      <c r="EG323" s="126"/>
      <c r="EH323" s="126"/>
      <c r="EI323" s="126"/>
      <c r="EJ323" s="126"/>
      <c r="EK323" s="126"/>
      <c r="EL323" s="126"/>
      <c r="EM323" s="126"/>
      <c r="EN323" s="126"/>
    </row>
    <row r="324" spans="1:145" s="14" customFormat="1" ht="66.75" customHeight="1">
      <c r="A324" s="9"/>
      <c r="B324" s="35" t="s">
        <v>423</v>
      </c>
      <c r="C324" s="330" t="s">
        <v>426</v>
      </c>
      <c r="D324" s="10" t="s">
        <v>331</v>
      </c>
      <c r="E324" s="728">
        <v>31645300</v>
      </c>
      <c r="F324" s="728">
        <v>31645300</v>
      </c>
      <c r="G324" s="366">
        <f>(F324/E324)*100</f>
        <v>100</v>
      </c>
      <c r="H324" s="399">
        <v>1</v>
      </c>
      <c r="I324" s="11" t="s">
        <v>232</v>
      </c>
      <c r="J324" s="12" t="s">
        <v>234</v>
      </c>
      <c r="K324" s="762" t="s">
        <v>699</v>
      </c>
      <c r="L324" s="762">
        <v>23.9</v>
      </c>
      <c r="M324" s="141">
        <v>100</v>
      </c>
      <c r="N324" s="474">
        <v>1</v>
      </c>
      <c r="O324" s="288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  <c r="CW324" s="127"/>
      <c r="CX324" s="127"/>
      <c r="CY324" s="127"/>
      <c r="CZ324" s="127"/>
      <c r="DA324" s="127"/>
      <c r="DB324" s="127"/>
      <c r="DC324" s="127"/>
      <c r="DD324" s="127"/>
      <c r="DE324" s="127"/>
      <c r="DF324" s="127"/>
      <c r="DG324" s="127"/>
      <c r="DH324" s="127"/>
      <c r="DI324" s="127"/>
      <c r="DJ324" s="127"/>
      <c r="DK324" s="127"/>
      <c r="DL324" s="127"/>
      <c r="DM324" s="127"/>
      <c r="DN324" s="127"/>
      <c r="DO324" s="127"/>
      <c r="DP324" s="127"/>
      <c r="DQ324" s="127"/>
      <c r="DR324" s="127"/>
      <c r="DS324" s="127"/>
      <c r="DT324" s="127"/>
      <c r="DU324" s="127"/>
      <c r="DV324" s="127"/>
      <c r="DW324" s="127"/>
      <c r="DX324" s="127"/>
      <c r="DY324" s="127"/>
      <c r="DZ324" s="127"/>
      <c r="EA324" s="127"/>
      <c r="EB324" s="127"/>
      <c r="EC324" s="127"/>
      <c r="ED324" s="127"/>
      <c r="EE324" s="127"/>
      <c r="EF324" s="127"/>
      <c r="EG324" s="127"/>
      <c r="EH324" s="127"/>
      <c r="EI324" s="127"/>
      <c r="EJ324" s="127"/>
      <c r="EK324" s="127"/>
      <c r="EL324" s="127"/>
      <c r="EM324" s="127"/>
      <c r="EN324" s="127"/>
    </row>
    <row r="325" spans="1:145" s="14" customFormat="1" ht="82.5" customHeight="1">
      <c r="A325" s="9"/>
      <c r="B325" s="35" t="s">
        <v>424</v>
      </c>
      <c r="C325" s="367" t="s">
        <v>698</v>
      </c>
      <c r="D325" s="10" t="s">
        <v>331</v>
      </c>
      <c r="E325" s="728">
        <v>17468300</v>
      </c>
      <c r="F325" s="728">
        <v>17468300</v>
      </c>
      <c r="G325" s="435">
        <f>(F325/E325)*100</f>
        <v>100</v>
      </c>
      <c r="H325" s="399">
        <v>1</v>
      </c>
      <c r="I325" s="11" t="s">
        <v>233</v>
      </c>
      <c r="J325" s="12" t="s">
        <v>235</v>
      </c>
      <c r="K325" s="276">
        <v>0</v>
      </c>
      <c r="L325" s="276">
        <v>0</v>
      </c>
      <c r="M325" s="141">
        <v>100</v>
      </c>
      <c r="N325" s="474">
        <v>1</v>
      </c>
      <c r="O325" s="288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  <c r="CW325" s="127"/>
      <c r="CX325" s="127"/>
      <c r="CY325" s="127"/>
      <c r="CZ325" s="127"/>
      <c r="DA325" s="127"/>
      <c r="DB325" s="127"/>
      <c r="DC325" s="127"/>
      <c r="DD325" s="127"/>
      <c r="DE325" s="127"/>
      <c r="DF325" s="127"/>
      <c r="DG325" s="127"/>
      <c r="DH325" s="127"/>
      <c r="DI325" s="127"/>
      <c r="DJ325" s="127"/>
      <c r="DK325" s="127"/>
      <c r="DL325" s="127"/>
      <c r="DM325" s="127"/>
      <c r="DN325" s="127"/>
      <c r="DO325" s="127"/>
      <c r="DP325" s="127"/>
      <c r="DQ325" s="127"/>
      <c r="DR325" s="127"/>
      <c r="DS325" s="127"/>
      <c r="DT325" s="127"/>
      <c r="DU325" s="127"/>
      <c r="DV325" s="127"/>
      <c r="DW325" s="127"/>
      <c r="DX325" s="127"/>
      <c r="DY325" s="127"/>
      <c r="DZ325" s="127"/>
      <c r="EA325" s="127"/>
      <c r="EB325" s="127"/>
      <c r="EC325" s="127"/>
      <c r="ED325" s="127"/>
      <c r="EE325" s="127"/>
      <c r="EF325" s="127"/>
      <c r="EG325" s="127"/>
      <c r="EH325" s="127"/>
      <c r="EI325" s="127"/>
      <c r="EJ325" s="127"/>
      <c r="EK325" s="127"/>
      <c r="EL325" s="127"/>
      <c r="EM325" s="127"/>
      <c r="EN325" s="127"/>
    </row>
    <row r="326" spans="1:145" s="14" customFormat="1" ht="75" customHeight="1">
      <c r="A326" s="9"/>
      <c r="B326" s="35" t="s">
        <v>425</v>
      </c>
      <c r="C326" s="367" t="s">
        <v>557</v>
      </c>
      <c r="D326" s="10" t="s">
        <v>333</v>
      </c>
      <c r="E326" s="728">
        <v>32885752.73</v>
      </c>
      <c r="F326" s="728">
        <v>32885752.73</v>
      </c>
      <c r="G326" s="435">
        <f>(F326/E326)*100</f>
        <v>100</v>
      </c>
      <c r="H326" s="399">
        <v>1</v>
      </c>
      <c r="I326" s="169"/>
      <c r="J326" s="12"/>
      <c r="K326" s="276"/>
      <c r="L326" s="276"/>
      <c r="M326" s="141"/>
      <c r="N326" s="474"/>
      <c r="O326" s="288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  <c r="CW326" s="127"/>
      <c r="CX326" s="127"/>
      <c r="CY326" s="127"/>
      <c r="CZ326" s="127"/>
      <c r="DA326" s="127"/>
      <c r="DB326" s="127"/>
      <c r="DC326" s="127"/>
      <c r="DD326" s="127"/>
      <c r="DE326" s="127"/>
      <c r="DF326" s="127"/>
      <c r="DG326" s="127"/>
      <c r="DH326" s="127"/>
      <c r="DI326" s="127"/>
      <c r="DJ326" s="127"/>
      <c r="DK326" s="127"/>
      <c r="DL326" s="127"/>
      <c r="DM326" s="127"/>
      <c r="DN326" s="127"/>
      <c r="DO326" s="127"/>
      <c r="DP326" s="127"/>
      <c r="DQ326" s="127"/>
      <c r="DR326" s="127"/>
      <c r="DS326" s="127"/>
      <c r="DT326" s="127"/>
      <c r="DU326" s="127"/>
      <c r="DV326" s="127"/>
      <c r="DW326" s="127"/>
      <c r="DX326" s="127"/>
      <c r="DY326" s="127"/>
      <c r="DZ326" s="127"/>
      <c r="EA326" s="127"/>
      <c r="EB326" s="127"/>
      <c r="EC326" s="127"/>
      <c r="ED326" s="127"/>
      <c r="EE326" s="127"/>
      <c r="EF326" s="127"/>
      <c r="EG326" s="127"/>
      <c r="EH326" s="127"/>
      <c r="EI326" s="127"/>
      <c r="EJ326" s="127"/>
      <c r="EK326" s="127"/>
      <c r="EL326" s="127"/>
      <c r="EM326" s="127"/>
      <c r="EN326" s="127"/>
    </row>
    <row r="327" spans="1:145" s="74" customFormat="1" ht="28.5" customHeight="1">
      <c r="B327" s="75"/>
      <c r="C327" s="70" t="s">
        <v>21</v>
      </c>
      <c r="D327" s="75"/>
      <c r="E327" s="534">
        <f>SUM(E324:E326)</f>
        <v>81999352.730000004</v>
      </c>
      <c r="F327" s="534">
        <f>SUM(F324:F326)</f>
        <v>81999352.730000004</v>
      </c>
      <c r="G327" s="482">
        <f>F327/E327*100</f>
        <v>100</v>
      </c>
      <c r="H327" s="456">
        <f>G327/100</f>
        <v>1</v>
      </c>
      <c r="I327" s="77"/>
      <c r="J327" s="77"/>
      <c r="K327" s="262"/>
      <c r="L327" s="262"/>
      <c r="M327" s="535">
        <f>(M325+M324)/2</f>
        <v>100</v>
      </c>
      <c r="N327" s="248">
        <v>1</v>
      </c>
      <c r="O327" s="288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  <c r="CW327" s="127"/>
      <c r="CX327" s="127"/>
      <c r="CY327" s="127"/>
      <c r="CZ327" s="127"/>
      <c r="DA327" s="127"/>
      <c r="DB327" s="127"/>
      <c r="DC327" s="127"/>
      <c r="DD327" s="127"/>
      <c r="DE327" s="127"/>
      <c r="DF327" s="127"/>
      <c r="DG327" s="127"/>
      <c r="DH327" s="127"/>
      <c r="DI327" s="127"/>
      <c r="DJ327" s="127"/>
      <c r="DK327" s="127"/>
      <c r="DL327" s="127"/>
      <c r="DM327" s="127"/>
      <c r="DN327" s="127"/>
      <c r="DO327" s="127"/>
      <c r="DP327" s="127"/>
      <c r="DQ327" s="127"/>
      <c r="DR327" s="127"/>
      <c r="DS327" s="127"/>
      <c r="DT327" s="127"/>
      <c r="DU327" s="127"/>
      <c r="DV327" s="127"/>
      <c r="DW327" s="127"/>
      <c r="DX327" s="127"/>
      <c r="DY327" s="127"/>
      <c r="DZ327" s="127"/>
      <c r="EA327" s="127"/>
      <c r="EB327" s="127"/>
      <c r="EC327" s="127"/>
      <c r="ED327" s="127"/>
      <c r="EE327" s="127"/>
      <c r="EF327" s="127"/>
      <c r="EG327" s="127"/>
      <c r="EH327" s="127"/>
      <c r="EI327" s="127"/>
      <c r="EJ327" s="127"/>
      <c r="EK327" s="127"/>
      <c r="EL327" s="127"/>
      <c r="EM327" s="127"/>
      <c r="EN327" s="127"/>
    </row>
    <row r="328" spans="1:145" s="96" customFormat="1" ht="33.75" customHeight="1">
      <c r="B328" s="246" t="s">
        <v>427</v>
      </c>
      <c r="C328" s="805" t="s">
        <v>238</v>
      </c>
      <c r="D328" s="806"/>
      <c r="E328" s="806"/>
      <c r="F328" s="806"/>
      <c r="G328" s="806"/>
      <c r="H328" s="806"/>
      <c r="I328" s="806"/>
      <c r="J328" s="806"/>
      <c r="K328" s="806"/>
      <c r="L328" s="806"/>
      <c r="M328" s="806"/>
      <c r="N328" s="807"/>
      <c r="O328" s="288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  <c r="CW328" s="127"/>
      <c r="CX328" s="127"/>
      <c r="CY328" s="127"/>
      <c r="CZ328" s="127"/>
      <c r="DA328" s="127"/>
      <c r="DB328" s="127"/>
      <c r="DC328" s="127"/>
      <c r="DD328" s="127"/>
      <c r="DE328" s="127"/>
      <c r="DF328" s="127"/>
      <c r="DG328" s="127"/>
      <c r="DH328" s="127"/>
      <c r="DI328" s="127"/>
      <c r="DJ328" s="127"/>
      <c r="DK328" s="127"/>
      <c r="DL328" s="127"/>
      <c r="DM328" s="127"/>
      <c r="DN328" s="127"/>
      <c r="DO328" s="127"/>
      <c r="DP328" s="127"/>
      <c r="DQ328" s="127"/>
      <c r="DR328" s="127"/>
      <c r="DS328" s="127"/>
      <c r="DT328" s="127"/>
      <c r="DU328" s="127"/>
      <c r="DV328" s="127"/>
      <c r="DW328" s="127"/>
      <c r="DX328" s="127"/>
      <c r="DY328" s="127"/>
      <c r="DZ328" s="127"/>
      <c r="EA328" s="127"/>
      <c r="EB328" s="127"/>
      <c r="EC328" s="127"/>
      <c r="ED328" s="127"/>
      <c r="EE328" s="127"/>
      <c r="EF328" s="127"/>
      <c r="EG328" s="127"/>
      <c r="EH328" s="127"/>
      <c r="EI328" s="127"/>
      <c r="EJ328" s="127"/>
      <c r="EK328" s="127"/>
      <c r="EL328" s="127"/>
      <c r="EM328" s="127"/>
      <c r="EN328" s="127"/>
    </row>
    <row r="329" spans="1:145" s="14" customFormat="1" ht="25.5" customHeight="1">
      <c r="A329" s="9"/>
      <c r="B329" s="35"/>
      <c r="C329" s="808" t="s">
        <v>239</v>
      </c>
      <c r="D329" s="879"/>
      <c r="E329" s="879"/>
      <c r="F329" s="879"/>
      <c r="G329" s="879"/>
      <c r="H329" s="879"/>
      <c r="I329" s="879"/>
      <c r="J329" s="879"/>
      <c r="K329" s="879"/>
      <c r="L329" s="879"/>
      <c r="M329" s="879"/>
      <c r="N329" s="880"/>
      <c r="O329" s="288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  <c r="CW329" s="127"/>
      <c r="CX329" s="127"/>
      <c r="CY329" s="127"/>
      <c r="CZ329" s="127"/>
      <c r="DA329" s="127"/>
      <c r="DB329" s="127"/>
      <c r="DC329" s="127"/>
      <c r="DD329" s="127"/>
      <c r="DE329" s="127"/>
      <c r="DF329" s="127"/>
      <c r="DG329" s="127"/>
      <c r="DH329" s="127"/>
      <c r="DI329" s="127"/>
      <c r="DJ329" s="127"/>
      <c r="DK329" s="127"/>
      <c r="DL329" s="127"/>
      <c r="DM329" s="127"/>
      <c r="DN329" s="127"/>
      <c r="DO329" s="127"/>
      <c r="DP329" s="127"/>
      <c r="DQ329" s="127"/>
      <c r="DR329" s="127"/>
      <c r="DS329" s="127"/>
      <c r="DT329" s="127"/>
      <c r="DU329" s="127"/>
      <c r="DV329" s="127"/>
      <c r="DW329" s="127"/>
      <c r="DX329" s="127"/>
      <c r="DY329" s="127"/>
      <c r="DZ329" s="127"/>
      <c r="EA329" s="127"/>
      <c r="EB329" s="127"/>
      <c r="EC329" s="127"/>
      <c r="ED329" s="127"/>
      <c r="EE329" s="127"/>
      <c r="EF329" s="127"/>
      <c r="EG329" s="127"/>
      <c r="EH329" s="127"/>
      <c r="EI329" s="127"/>
      <c r="EJ329" s="127"/>
      <c r="EK329" s="127"/>
      <c r="EL329" s="127"/>
      <c r="EM329" s="127"/>
      <c r="EN329" s="127"/>
    </row>
    <row r="330" spans="1:145" s="83" customFormat="1" ht="29.25" customHeight="1">
      <c r="A330" s="81"/>
      <c r="B330" s="82"/>
      <c r="C330" s="808" t="s">
        <v>240</v>
      </c>
      <c r="D330" s="809"/>
      <c r="E330" s="809"/>
      <c r="F330" s="809"/>
      <c r="G330" s="809"/>
      <c r="H330" s="809"/>
      <c r="I330" s="809"/>
      <c r="J330" s="809"/>
      <c r="K330" s="809"/>
      <c r="L330" s="809"/>
      <c r="M330" s="809"/>
      <c r="N330" s="810"/>
      <c r="O330" s="292"/>
      <c r="P330" s="389"/>
      <c r="Q330" s="389"/>
      <c r="R330" s="389"/>
      <c r="S330" s="389"/>
      <c r="T330" s="389"/>
      <c r="U330" s="389"/>
      <c r="V330" s="389"/>
      <c r="W330" s="389"/>
      <c r="X330" s="389"/>
      <c r="Y330" s="389"/>
      <c r="Z330" s="389"/>
      <c r="AA330" s="389"/>
      <c r="AB330" s="236"/>
      <c r="AC330" s="236"/>
      <c r="AD330" s="236"/>
      <c r="AE330" s="236"/>
      <c r="AF330" s="236"/>
      <c r="AG330" s="236"/>
      <c r="AH330" s="236"/>
      <c r="AI330" s="236"/>
      <c r="AJ330" s="236"/>
      <c r="AK330" s="236"/>
      <c r="AL330" s="236"/>
      <c r="AM330" s="236"/>
      <c r="AN330" s="236"/>
      <c r="AO330" s="236"/>
      <c r="AP330" s="236"/>
      <c r="AQ330" s="236"/>
      <c r="AR330" s="236"/>
      <c r="AS330" s="236"/>
      <c r="AT330" s="236"/>
      <c r="AU330" s="236"/>
      <c r="AV330" s="236"/>
      <c r="AW330" s="236"/>
      <c r="AX330" s="236"/>
      <c r="AY330" s="236"/>
      <c r="AZ330" s="236"/>
      <c r="BA330" s="236"/>
      <c r="BB330" s="236"/>
      <c r="BC330" s="236"/>
      <c r="BD330" s="236"/>
      <c r="BE330" s="236"/>
      <c r="BF330" s="236"/>
      <c r="BG330" s="236"/>
      <c r="BH330" s="236"/>
      <c r="BI330" s="236"/>
      <c r="BJ330" s="236"/>
      <c r="BK330" s="236"/>
      <c r="BL330" s="236"/>
      <c r="BM330" s="236"/>
      <c r="BN330" s="236"/>
      <c r="BO330" s="236"/>
      <c r="BP330" s="236"/>
      <c r="BQ330" s="236"/>
      <c r="BR330" s="236"/>
      <c r="BS330" s="236"/>
      <c r="BT330" s="236"/>
      <c r="BU330" s="236"/>
      <c r="BV330" s="236"/>
      <c r="BW330" s="236"/>
      <c r="BX330" s="236"/>
      <c r="BY330" s="236"/>
      <c r="BZ330" s="236"/>
      <c r="CA330" s="236"/>
      <c r="CB330" s="236"/>
      <c r="CC330" s="236"/>
      <c r="CD330" s="236"/>
      <c r="CE330" s="236"/>
      <c r="CF330" s="236"/>
      <c r="CG330" s="236"/>
      <c r="CH330" s="236"/>
      <c r="CI330" s="236"/>
      <c r="CJ330" s="236"/>
      <c r="CK330" s="236"/>
      <c r="CL330" s="236"/>
      <c r="CM330" s="236"/>
      <c r="CN330" s="236"/>
      <c r="CO330" s="236"/>
      <c r="CP330" s="236"/>
      <c r="CQ330" s="236"/>
      <c r="CR330" s="236"/>
      <c r="CS330" s="236"/>
      <c r="CT330" s="236"/>
      <c r="CU330" s="236"/>
      <c r="CV330" s="236"/>
      <c r="CW330" s="236"/>
      <c r="CX330" s="236"/>
      <c r="CY330" s="236"/>
      <c r="CZ330" s="236"/>
      <c r="DA330" s="236"/>
      <c r="DB330" s="236"/>
      <c r="DC330" s="236"/>
      <c r="DD330" s="236"/>
      <c r="DE330" s="236"/>
      <c r="DF330" s="236"/>
      <c r="DG330" s="236"/>
      <c r="DH330" s="236"/>
      <c r="DI330" s="236"/>
      <c r="DJ330" s="236"/>
      <c r="DK330" s="236"/>
      <c r="DL330" s="236"/>
      <c r="DM330" s="236"/>
      <c r="DN330" s="236"/>
      <c r="DO330" s="236"/>
      <c r="DP330" s="236"/>
      <c r="DQ330" s="236"/>
      <c r="DR330" s="236"/>
      <c r="DS330" s="236"/>
      <c r="DT330" s="236"/>
      <c r="DU330" s="236"/>
      <c r="DV330" s="236"/>
      <c r="DW330" s="236"/>
      <c r="DX330" s="236"/>
      <c r="DY330" s="236"/>
      <c r="DZ330" s="236"/>
      <c r="EA330" s="236"/>
      <c r="EB330" s="236"/>
      <c r="EC330" s="236"/>
      <c r="ED330" s="236"/>
      <c r="EE330" s="236"/>
      <c r="EF330" s="236"/>
      <c r="EG330" s="236"/>
      <c r="EH330" s="236"/>
      <c r="EI330" s="236"/>
      <c r="EJ330" s="236"/>
      <c r="EK330" s="236"/>
      <c r="EL330" s="236"/>
      <c r="EM330" s="236"/>
      <c r="EN330" s="236"/>
    </row>
    <row r="331" spans="1:145" s="143" customFormat="1" ht="21.75" customHeight="1">
      <c r="A331" s="81"/>
      <c r="B331" s="142"/>
      <c r="C331" s="808" t="s">
        <v>241</v>
      </c>
      <c r="D331" s="809"/>
      <c r="E331" s="809"/>
      <c r="F331" s="809"/>
      <c r="G331" s="809"/>
      <c r="H331" s="809"/>
      <c r="I331" s="809"/>
      <c r="J331" s="809"/>
      <c r="K331" s="809"/>
      <c r="L331" s="809"/>
      <c r="M331" s="809"/>
      <c r="N331" s="810"/>
      <c r="O331" s="292"/>
      <c r="P331" s="389"/>
      <c r="Q331" s="389"/>
      <c r="R331" s="389"/>
      <c r="S331" s="389"/>
      <c r="T331" s="389"/>
      <c r="U331" s="389"/>
      <c r="V331" s="389"/>
      <c r="W331" s="389"/>
      <c r="X331" s="389"/>
      <c r="Y331" s="389"/>
      <c r="Z331" s="389"/>
      <c r="AA331" s="389"/>
      <c r="AB331" s="236"/>
      <c r="AC331" s="236"/>
      <c r="AD331" s="236"/>
      <c r="AE331" s="236"/>
      <c r="AF331" s="236"/>
      <c r="AG331" s="236"/>
      <c r="AH331" s="236"/>
      <c r="AI331" s="236"/>
      <c r="AJ331" s="236"/>
      <c r="AK331" s="236"/>
      <c r="AL331" s="236"/>
      <c r="AM331" s="236"/>
      <c r="AN331" s="236"/>
      <c r="AO331" s="236"/>
      <c r="AP331" s="236"/>
      <c r="AQ331" s="236"/>
      <c r="AR331" s="236"/>
      <c r="AS331" s="236"/>
      <c r="AT331" s="236"/>
      <c r="AU331" s="236"/>
      <c r="AV331" s="236"/>
      <c r="AW331" s="236"/>
      <c r="AX331" s="236"/>
      <c r="AY331" s="236"/>
      <c r="AZ331" s="236"/>
      <c r="BA331" s="236"/>
      <c r="BB331" s="236"/>
      <c r="BC331" s="236"/>
      <c r="BD331" s="236"/>
      <c r="BE331" s="236"/>
      <c r="BF331" s="236"/>
      <c r="BG331" s="236"/>
      <c r="BH331" s="236"/>
      <c r="BI331" s="236"/>
      <c r="BJ331" s="236"/>
      <c r="BK331" s="236"/>
      <c r="BL331" s="236"/>
      <c r="BM331" s="236"/>
      <c r="BN331" s="236"/>
      <c r="BO331" s="236"/>
      <c r="BP331" s="236"/>
      <c r="BQ331" s="236"/>
      <c r="BR331" s="236"/>
      <c r="BS331" s="236"/>
      <c r="BT331" s="236"/>
      <c r="BU331" s="236"/>
      <c r="BV331" s="236"/>
      <c r="BW331" s="236"/>
      <c r="BX331" s="236"/>
      <c r="BY331" s="236"/>
      <c r="BZ331" s="236"/>
      <c r="CA331" s="236"/>
      <c r="CB331" s="236"/>
      <c r="CC331" s="236"/>
      <c r="CD331" s="236"/>
      <c r="CE331" s="236"/>
      <c r="CF331" s="236"/>
      <c r="CG331" s="236"/>
      <c r="CH331" s="236"/>
      <c r="CI331" s="236"/>
      <c r="CJ331" s="236"/>
      <c r="CK331" s="236"/>
      <c r="CL331" s="236"/>
      <c r="CM331" s="236"/>
      <c r="CN331" s="236"/>
      <c r="CO331" s="236"/>
      <c r="CP331" s="236"/>
      <c r="CQ331" s="236"/>
      <c r="CR331" s="236"/>
      <c r="CS331" s="236"/>
      <c r="CT331" s="236"/>
      <c r="CU331" s="236"/>
      <c r="CV331" s="236"/>
      <c r="CW331" s="236"/>
      <c r="CX331" s="236"/>
      <c r="CY331" s="236"/>
      <c r="CZ331" s="236"/>
      <c r="DA331" s="236"/>
      <c r="DB331" s="236"/>
      <c r="DC331" s="236"/>
      <c r="DD331" s="236"/>
      <c r="DE331" s="236"/>
      <c r="DF331" s="236"/>
      <c r="DG331" s="236"/>
      <c r="DH331" s="236"/>
      <c r="DI331" s="236"/>
      <c r="DJ331" s="236"/>
      <c r="DK331" s="236"/>
      <c r="DL331" s="236"/>
      <c r="DM331" s="236"/>
      <c r="DN331" s="236"/>
      <c r="DO331" s="236"/>
      <c r="DP331" s="236"/>
      <c r="DQ331" s="236"/>
      <c r="DR331" s="236"/>
      <c r="DS331" s="236"/>
      <c r="DT331" s="236"/>
      <c r="DU331" s="236"/>
      <c r="DV331" s="236"/>
      <c r="DW331" s="236"/>
      <c r="DX331" s="236"/>
      <c r="DY331" s="236"/>
      <c r="DZ331" s="236"/>
      <c r="EA331" s="236"/>
      <c r="EB331" s="236"/>
      <c r="EC331" s="236"/>
      <c r="ED331" s="236"/>
      <c r="EE331" s="236"/>
      <c r="EF331" s="236"/>
      <c r="EG331" s="236"/>
      <c r="EH331" s="236"/>
      <c r="EI331" s="236"/>
      <c r="EJ331" s="236"/>
      <c r="EK331" s="236"/>
      <c r="EL331" s="236"/>
      <c r="EM331" s="236"/>
      <c r="EN331" s="236"/>
    </row>
    <row r="332" spans="1:145" s="83" customFormat="1" ht="25.5" customHeight="1">
      <c r="A332" s="81"/>
      <c r="B332" s="203"/>
      <c r="C332" s="782" t="s">
        <v>242</v>
      </c>
      <c r="D332" s="783"/>
      <c r="E332" s="783"/>
      <c r="F332" s="783"/>
      <c r="G332" s="783"/>
      <c r="H332" s="783"/>
      <c r="I332" s="783"/>
      <c r="J332" s="783"/>
      <c r="K332" s="783"/>
      <c r="L332" s="783"/>
      <c r="M332" s="783"/>
      <c r="N332" s="784"/>
      <c r="O332" s="292"/>
      <c r="P332" s="389"/>
      <c r="Q332" s="389"/>
      <c r="R332" s="389"/>
      <c r="S332" s="389"/>
      <c r="T332" s="389"/>
      <c r="U332" s="389"/>
      <c r="V332" s="389"/>
      <c r="W332" s="389"/>
      <c r="X332" s="389"/>
      <c r="Y332" s="389"/>
      <c r="Z332" s="389"/>
      <c r="AA332" s="389"/>
      <c r="AB332" s="236"/>
      <c r="AC332" s="236"/>
      <c r="AD332" s="236"/>
      <c r="AE332" s="236"/>
      <c r="AF332" s="236"/>
      <c r="AG332" s="236"/>
      <c r="AH332" s="236"/>
      <c r="AI332" s="236"/>
      <c r="AJ332" s="236"/>
      <c r="AK332" s="236"/>
      <c r="AL332" s="236"/>
      <c r="AM332" s="236"/>
      <c r="AN332" s="236"/>
      <c r="AO332" s="236"/>
      <c r="AP332" s="236"/>
      <c r="AQ332" s="236"/>
      <c r="AR332" s="236"/>
      <c r="AS332" s="236"/>
      <c r="AT332" s="236"/>
      <c r="AU332" s="236"/>
      <c r="AV332" s="236"/>
      <c r="AW332" s="236"/>
      <c r="AX332" s="236"/>
      <c r="AY332" s="236"/>
      <c r="AZ332" s="236"/>
      <c r="BA332" s="236"/>
      <c r="BB332" s="236"/>
      <c r="BC332" s="236"/>
      <c r="BD332" s="236"/>
      <c r="BE332" s="236"/>
      <c r="BF332" s="236"/>
      <c r="BG332" s="236"/>
      <c r="BH332" s="236"/>
      <c r="BI332" s="236"/>
      <c r="BJ332" s="236"/>
      <c r="BK332" s="236"/>
      <c r="BL332" s="236"/>
      <c r="BM332" s="236"/>
      <c r="BN332" s="236"/>
      <c r="BO332" s="236"/>
      <c r="BP332" s="236"/>
      <c r="BQ332" s="236"/>
      <c r="BR332" s="236"/>
      <c r="BS332" s="236"/>
      <c r="BT332" s="236"/>
      <c r="BU332" s="236"/>
      <c r="BV332" s="236"/>
      <c r="BW332" s="236"/>
      <c r="BX332" s="236"/>
      <c r="BY332" s="236"/>
      <c r="BZ332" s="236"/>
      <c r="CA332" s="236"/>
      <c r="CB332" s="236"/>
      <c r="CC332" s="236"/>
      <c r="CD332" s="236"/>
      <c r="CE332" s="236"/>
      <c r="CF332" s="236"/>
      <c r="CG332" s="236"/>
      <c r="CH332" s="236"/>
      <c r="CI332" s="236"/>
      <c r="CJ332" s="236"/>
      <c r="CK332" s="236"/>
      <c r="CL332" s="236"/>
      <c r="CM332" s="236"/>
      <c r="CN332" s="236"/>
      <c r="CO332" s="236"/>
      <c r="CP332" s="236"/>
      <c r="CQ332" s="236"/>
      <c r="CR332" s="236"/>
      <c r="CS332" s="236"/>
      <c r="CT332" s="236"/>
      <c r="CU332" s="236"/>
      <c r="CV332" s="236"/>
      <c r="CW332" s="236"/>
      <c r="CX332" s="236"/>
      <c r="CY332" s="236"/>
      <c r="CZ332" s="236"/>
      <c r="DA332" s="236"/>
      <c r="DB332" s="236"/>
      <c r="DC332" s="236"/>
      <c r="DD332" s="236"/>
      <c r="DE332" s="236"/>
      <c r="DF332" s="236"/>
      <c r="DG332" s="236"/>
      <c r="DH332" s="236"/>
      <c r="DI332" s="236"/>
      <c r="DJ332" s="236"/>
      <c r="DK332" s="236"/>
      <c r="DL332" s="236"/>
      <c r="DM332" s="236"/>
      <c r="DN332" s="236"/>
      <c r="DO332" s="236"/>
      <c r="DP332" s="236"/>
      <c r="DQ332" s="236"/>
      <c r="DR332" s="236"/>
      <c r="DS332" s="236"/>
      <c r="DT332" s="236"/>
      <c r="DU332" s="236"/>
      <c r="DV332" s="236"/>
      <c r="DW332" s="236"/>
      <c r="DX332" s="236"/>
      <c r="DY332" s="236"/>
      <c r="DZ332" s="236"/>
      <c r="EA332" s="236"/>
      <c r="EB332" s="236"/>
      <c r="EC332" s="236"/>
      <c r="ED332" s="236"/>
      <c r="EE332" s="236"/>
      <c r="EF332" s="236"/>
      <c r="EG332" s="236"/>
      <c r="EH332" s="236"/>
      <c r="EI332" s="236"/>
      <c r="EJ332" s="236"/>
      <c r="EK332" s="236"/>
      <c r="EL332" s="236"/>
      <c r="EM332" s="236"/>
      <c r="EN332" s="236"/>
    </row>
    <row r="333" spans="1:145" s="206" customFormat="1" ht="48.75" customHeight="1">
      <c r="A333" s="205"/>
      <c r="B333" s="193" t="s">
        <v>428</v>
      </c>
      <c r="C333" s="11" t="s">
        <v>336</v>
      </c>
      <c r="D333" s="10" t="s">
        <v>331</v>
      </c>
      <c r="E333" s="300">
        <v>0</v>
      </c>
      <c r="F333" s="300">
        <v>0</v>
      </c>
      <c r="G333" s="367"/>
      <c r="H333" s="219"/>
      <c r="I333" s="11" t="s">
        <v>335</v>
      </c>
      <c r="J333" s="144" t="s">
        <v>12</v>
      </c>
      <c r="K333" s="257" t="s">
        <v>245</v>
      </c>
      <c r="L333" s="257">
        <v>0</v>
      </c>
      <c r="M333" s="12">
        <v>100</v>
      </c>
      <c r="N333" s="475">
        <v>1</v>
      </c>
      <c r="O333" s="292"/>
      <c r="P333" s="389"/>
      <c r="Q333" s="389"/>
      <c r="R333" s="389"/>
      <c r="S333" s="389"/>
      <c r="T333" s="389"/>
      <c r="U333" s="389"/>
      <c r="V333" s="389"/>
      <c r="W333" s="389"/>
      <c r="X333" s="389"/>
      <c r="Y333" s="389"/>
      <c r="Z333" s="389"/>
      <c r="AA333" s="389"/>
      <c r="AB333" s="236"/>
      <c r="AC333" s="236"/>
      <c r="AD333" s="236"/>
      <c r="AE333" s="236"/>
      <c r="AF333" s="236"/>
      <c r="AG333" s="236"/>
      <c r="AH333" s="236"/>
      <c r="AI333" s="236"/>
      <c r="AJ333" s="236"/>
      <c r="AK333" s="236"/>
      <c r="AL333" s="236"/>
      <c r="AM333" s="236"/>
      <c r="AN333" s="236"/>
      <c r="AO333" s="236"/>
      <c r="AP333" s="236"/>
      <c r="AQ333" s="236"/>
      <c r="AR333" s="236"/>
      <c r="AS333" s="236"/>
      <c r="AT333" s="236"/>
      <c r="AU333" s="236"/>
      <c r="AV333" s="236"/>
      <c r="AW333" s="236"/>
      <c r="AX333" s="236"/>
      <c r="AY333" s="236"/>
      <c r="AZ333" s="236"/>
      <c r="BA333" s="236"/>
      <c r="BB333" s="236"/>
      <c r="BC333" s="236"/>
      <c r="BD333" s="236"/>
      <c r="BE333" s="236"/>
      <c r="BF333" s="236"/>
      <c r="BG333" s="236"/>
      <c r="BH333" s="236"/>
      <c r="BI333" s="236"/>
      <c r="BJ333" s="236"/>
      <c r="BK333" s="236"/>
      <c r="BL333" s="236"/>
      <c r="BM333" s="236"/>
      <c r="BN333" s="236"/>
      <c r="BO333" s="236"/>
      <c r="BP333" s="236"/>
      <c r="BQ333" s="236"/>
      <c r="BR333" s="236"/>
      <c r="BS333" s="236"/>
      <c r="BT333" s="236"/>
      <c r="BU333" s="236"/>
      <c r="BV333" s="236"/>
      <c r="BW333" s="236"/>
      <c r="BX333" s="236"/>
      <c r="BY333" s="236"/>
      <c r="BZ333" s="236"/>
      <c r="CA333" s="236"/>
      <c r="CB333" s="236"/>
      <c r="CC333" s="236"/>
      <c r="CD333" s="236"/>
      <c r="CE333" s="236"/>
      <c r="CF333" s="236"/>
      <c r="CG333" s="236"/>
      <c r="CH333" s="236"/>
      <c r="CI333" s="236"/>
      <c r="CJ333" s="236"/>
      <c r="CK333" s="236"/>
      <c r="CL333" s="236"/>
      <c r="CM333" s="236"/>
      <c r="CN333" s="236"/>
      <c r="CO333" s="236"/>
      <c r="CP333" s="236"/>
      <c r="CQ333" s="236"/>
      <c r="CR333" s="236"/>
      <c r="CS333" s="236"/>
      <c r="CT333" s="236"/>
      <c r="CU333" s="236"/>
      <c r="CV333" s="236"/>
      <c r="CW333" s="236"/>
      <c r="CX333" s="236"/>
      <c r="CY333" s="236"/>
      <c r="CZ333" s="236"/>
      <c r="DA333" s="236"/>
      <c r="DB333" s="236"/>
      <c r="DC333" s="236"/>
      <c r="DD333" s="236"/>
      <c r="DE333" s="236"/>
      <c r="DF333" s="236"/>
      <c r="DG333" s="236"/>
      <c r="DH333" s="236"/>
      <c r="DI333" s="236"/>
      <c r="DJ333" s="236"/>
      <c r="DK333" s="236"/>
      <c r="DL333" s="236"/>
      <c r="DM333" s="236"/>
      <c r="DN333" s="236"/>
      <c r="DO333" s="236"/>
      <c r="DP333" s="236"/>
      <c r="DQ333" s="236"/>
      <c r="DR333" s="236"/>
      <c r="DS333" s="236"/>
      <c r="DT333" s="236"/>
      <c r="DU333" s="236"/>
      <c r="DV333" s="236"/>
      <c r="DW333" s="236"/>
      <c r="DX333" s="236"/>
      <c r="DY333" s="236"/>
      <c r="DZ333" s="236"/>
      <c r="EA333" s="236"/>
      <c r="EB333" s="236"/>
      <c r="EC333" s="236"/>
      <c r="ED333" s="236"/>
      <c r="EE333" s="236"/>
      <c r="EF333" s="236"/>
      <c r="EG333" s="236"/>
      <c r="EH333" s="236"/>
      <c r="EI333" s="236"/>
      <c r="EJ333" s="236"/>
      <c r="EK333" s="236"/>
      <c r="EL333" s="236"/>
      <c r="EM333" s="236"/>
      <c r="EN333" s="236"/>
      <c r="EO333" s="232"/>
    </row>
    <row r="334" spans="1:145" ht="55.5" customHeight="1">
      <c r="A334" s="7"/>
      <c r="B334" s="94"/>
      <c r="C334" s="49"/>
      <c r="D334" s="411"/>
      <c r="E334" s="311"/>
      <c r="F334" s="311"/>
      <c r="G334" s="427"/>
      <c r="H334" s="440" t="s">
        <v>571</v>
      </c>
      <c r="I334" s="49" t="s">
        <v>556</v>
      </c>
      <c r="J334" s="204" t="s">
        <v>12</v>
      </c>
      <c r="K334" s="763" t="s">
        <v>555</v>
      </c>
      <c r="L334" s="763">
        <v>0</v>
      </c>
      <c r="M334" s="51">
        <v>100</v>
      </c>
      <c r="N334" s="476">
        <v>1</v>
      </c>
    </row>
    <row r="335" spans="1:145" s="14" customFormat="1" ht="52.5" customHeight="1">
      <c r="A335" s="9">
        <f>E351-F351</f>
        <v>18715.640000000596</v>
      </c>
      <c r="B335" s="35"/>
      <c r="C335" s="11"/>
      <c r="D335" s="10"/>
      <c r="E335" s="298"/>
      <c r="F335" s="298"/>
      <c r="G335" s="366"/>
      <c r="H335" s="399"/>
      <c r="I335" s="11" t="s">
        <v>243</v>
      </c>
      <c r="J335" s="12" t="s">
        <v>244</v>
      </c>
      <c r="K335" s="257">
        <v>0</v>
      </c>
      <c r="L335" s="257">
        <v>0</v>
      </c>
      <c r="M335" s="13">
        <v>100</v>
      </c>
      <c r="N335" s="396">
        <v>1</v>
      </c>
      <c r="O335" s="288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  <c r="CW335" s="127"/>
      <c r="CX335" s="127"/>
      <c r="CY335" s="127"/>
      <c r="CZ335" s="127"/>
      <c r="DA335" s="127"/>
      <c r="DB335" s="127"/>
      <c r="DC335" s="127"/>
      <c r="DD335" s="127"/>
      <c r="DE335" s="127"/>
      <c r="DF335" s="127"/>
      <c r="DG335" s="127"/>
      <c r="DH335" s="127"/>
      <c r="DI335" s="127"/>
      <c r="DJ335" s="127"/>
      <c r="DK335" s="127"/>
      <c r="DL335" s="127"/>
      <c r="DM335" s="127"/>
      <c r="DN335" s="127"/>
      <c r="DO335" s="127"/>
      <c r="DP335" s="127"/>
      <c r="DQ335" s="127"/>
      <c r="DR335" s="127"/>
      <c r="DS335" s="127"/>
      <c r="DT335" s="127"/>
      <c r="DU335" s="127"/>
      <c r="DV335" s="127"/>
      <c r="DW335" s="127"/>
      <c r="DX335" s="127"/>
      <c r="DY335" s="127"/>
      <c r="DZ335" s="127"/>
      <c r="EA335" s="127"/>
      <c r="EB335" s="127"/>
      <c r="EC335" s="127"/>
      <c r="ED335" s="127"/>
      <c r="EE335" s="127"/>
      <c r="EF335" s="127"/>
      <c r="EG335" s="127"/>
      <c r="EH335" s="127"/>
      <c r="EI335" s="127"/>
      <c r="EJ335" s="127"/>
      <c r="EK335" s="127"/>
      <c r="EL335" s="127"/>
      <c r="EM335" s="127"/>
      <c r="EN335" s="127"/>
    </row>
    <row r="336" spans="1:145" s="86" customFormat="1" ht="27.75" customHeight="1">
      <c r="B336" s="87"/>
      <c r="C336" s="70" t="s">
        <v>24</v>
      </c>
      <c r="D336" s="87"/>
      <c r="E336" s="534">
        <f>SUM(E333:E335)</f>
        <v>0</v>
      </c>
      <c r="F336" s="534">
        <f>SUM(F333:F335)</f>
        <v>0</v>
      </c>
      <c r="G336" s="426"/>
      <c r="H336" s="448"/>
      <c r="I336" s="70"/>
      <c r="J336" s="76"/>
      <c r="K336" s="277"/>
      <c r="L336" s="277"/>
      <c r="M336" s="536">
        <f>(M333+M334+M335)/3</f>
        <v>100</v>
      </c>
      <c r="N336" s="248">
        <v>1</v>
      </c>
      <c r="O336" s="293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  <c r="AR336" s="235"/>
      <c r="AS336" s="235"/>
      <c r="AT336" s="235"/>
      <c r="AU336" s="235"/>
      <c r="AV336" s="235"/>
      <c r="AW336" s="235"/>
      <c r="AX336" s="235"/>
      <c r="AY336" s="235"/>
      <c r="AZ336" s="235"/>
      <c r="BA336" s="235"/>
      <c r="BB336" s="235"/>
      <c r="BC336" s="235"/>
      <c r="BD336" s="235"/>
      <c r="BE336" s="235"/>
      <c r="BF336" s="235"/>
      <c r="BG336" s="235"/>
      <c r="BH336" s="235"/>
      <c r="BI336" s="235"/>
      <c r="BJ336" s="235"/>
      <c r="BK336" s="235"/>
      <c r="BL336" s="235"/>
      <c r="BM336" s="235"/>
      <c r="BN336" s="235"/>
      <c r="BO336" s="235"/>
      <c r="BP336" s="235"/>
      <c r="BQ336" s="235"/>
      <c r="BR336" s="235"/>
      <c r="BS336" s="235"/>
      <c r="BT336" s="235"/>
      <c r="BU336" s="235"/>
      <c r="BV336" s="235"/>
      <c r="BW336" s="235"/>
      <c r="BX336" s="235"/>
      <c r="BY336" s="235"/>
      <c r="BZ336" s="235"/>
      <c r="CA336" s="235"/>
      <c r="CB336" s="235"/>
      <c r="CC336" s="235"/>
      <c r="CD336" s="235"/>
      <c r="CE336" s="235"/>
      <c r="CF336" s="235"/>
      <c r="CG336" s="235"/>
      <c r="CH336" s="235"/>
      <c r="CI336" s="235"/>
      <c r="CJ336" s="235"/>
      <c r="CK336" s="235"/>
      <c r="CL336" s="235"/>
      <c r="CM336" s="235"/>
      <c r="CN336" s="235"/>
      <c r="CO336" s="235"/>
      <c r="CP336" s="235"/>
      <c r="CQ336" s="235"/>
      <c r="CR336" s="235"/>
      <c r="CS336" s="235"/>
      <c r="CT336" s="235"/>
      <c r="CU336" s="235"/>
      <c r="CV336" s="235"/>
      <c r="CW336" s="235"/>
      <c r="CX336" s="235"/>
      <c r="CY336" s="235"/>
      <c r="CZ336" s="235"/>
      <c r="DA336" s="235"/>
      <c r="DB336" s="235"/>
      <c r="DC336" s="235"/>
      <c r="DD336" s="235"/>
      <c r="DE336" s="235"/>
      <c r="DF336" s="235"/>
      <c r="DG336" s="235"/>
      <c r="DH336" s="235"/>
      <c r="DI336" s="235"/>
      <c r="DJ336" s="235"/>
      <c r="DK336" s="235"/>
      <c r="DL336" s="235"/>
      <c r="DM336" s="235"/>
      <c r="DN336" s="235"/>
      <c r="DO336" s="235"/>
      <c r="DP336" s="235"/>
      <c r="DQ336" s="235"/>
      <c r="DR336" s="235"/>
      <c r="DS336" s="235"/>
      <c r="DT336" s="235"/>
      <c r="DU336" s="235"/>
      <c r="DV336" s="235"/>
      <c r="DW336" s="235"/>
      <c r="DX336" s="235"/>
      <c r="DY336" s="235"/>
      <c r="DZ336" s="235"/>
      <c r="EA336" s="235"/>
      <c r="EB336" s="235"/>
      <c r="EC336" s="235"/>
      <c r="ED336" s="235"/>
      <c r="EE336" s="235"/>
      <c r="EF336" s="235"/>
      <c r="EG336" s="235"/>
      <c r="EH336" s="235"/>
      <c r="EI336" s="235"/>
      <c r="EJ336" s="235"/>
      <c r="EK336" s="235"/>
      <c r="EL336" s="235"/>
      <c r="EM336" s="235"/>
      <c r="EN336" s="235"/>
    </row>
    <row r="337" spans="1:144" s="145" customFormat="1" ht="34.5" customHeight="1">
      <c r="B337" s="146" t="s">
        <v>429</v>
      </c>
      <c r="C337" s="805" t="s">
        <v>246</v>
      </c>
      <c r="D337" s="806"/>
      <c r="E337" s="806"/>
      <c r="F337" s="806"/>
      <c r="G337" s="806"/>
      <c r="H337" s="806"/>
      <c r="I337" s="806"/>
      <c r="J337" s="806"/>
      <c r="K337" s="806"/>
      <c r="L337" s="806"/>
      <c r="M337" s="806"/>
      <c r="N337" s="807"/>
      <c r="O337" s="292"/>
      <c r="P337" s="390"/>
      <c r="Q337" s="390"/>
      <c r="R337" s="390"/>
      <c r="S337" s="390"/>
      <c r="T337" s="390"/>
      <c r="U337" s="390"/>
      <c r="V337" s="390"/>
      <c r="W337" s="390"/>
      <c r="X337" s="390"/>
      <c r="Y337" s="390"/>
      <c r="Z337" s="390"/>
      <c r="AA337" s="390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147"/>
      <c r="BN337" s="147"/>
      <c r="BO337" s="147"/>
      <c r="BP337" s="147"/>
      <c r="BQ337" s="147"/>
      <c r="BR337" s="147"/>
      <c r="BS337" s="147"/>
      <c r="BT337" s="147"/>
      <c r="BU337" s="147"/>
      <c r="BV337" s="147"/>
      <c r="BW337" s="147"/>
      <c r="BX337" s="147"/>
      <c r="BY337" s="147"/>
      <c r="BZ337" s="147"/>
      <c r="CA337" s="147"/>
      <c r="CB337" s="147"/>
      <c r="CC337" s="147"/>
      <c r="CD337" s="147"/>
      <c r="CE337" s="147"/>
      <c r="CF337" s="147"/>
      <c r="CG337" s="147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7"/>
      <c r="DB337" s="147"/>
      <c r="DC337" s="147"/>
      <c r="DD337" s="147"/>
      <c r="DE337" s="147"/>
      <c r="DF337" s="147"/>
      <c r="DG337" s="147"/>
      <c r="DH337" s="147"/>
      <c r="DI337" s="147"/>
      <c r="DJ337" s="147"/>
      <c r="DK337" s="147"/>
      <c r="DL337" s="147"/>
      <c r="DM337" s="147"/>
      <c r="DN337" s="147"/>
      <c r="DO337" s="147"/>
      <c r="DP337" s="147"/>
      <c r="DQ337" s="147"/>
      <c r="DR337" s="147"/>
      <c r="DS337" s="147"/>
      <c r="DT337" s="147"/>
      <c r="DU337" s="147"/>
      <c r="DV337" s="147"/>
      <c r="DW337" s="147"/>
      <c r="DX337" s="147"/>
      <c r="DY337" s="147"/>
      <c r="DZ337" s="147"/>
      <c r="EA337" s="147"/>
      <c r="EB337" s="147"/>
      <c r="EC337" s="147"/>
      <c r="ED337" s="147"/>
      <c r="EE337" s="147"/>
      <c r="EF337" s="147"/>
      <c r="EG337" s="147"/>
      <c r="EH337" s="147"/>
      <c r="EI337" s="147"/>
      <c r="EJ337" s="147"/>
      <c r="EK337" s="147"/>
      <c r="EL337" s="147"/>
      <c r="EM337" s="147"/>
      <c r="EN337" s="147"/>
    </row>
    <row r="338" spans="1:144" s="83" customFormat="1" ht="30" customHeight="1">
      <c r="B338" s="148"/>
      <c r="C338" s="808" t="s">
        <v>247</v>
      </c>
      <c r="D338" s="809"/>
      <c r="E338" s="809"/>
      <c r="F338" s="809"/>
      <c r="G338" s="809"/>
      <c r="H338" s="809"/>
      <c r="I338" s="809"/>
      <c r="J338" s="809"/>
      <c r="K338" s="809"/>
      <c r="L338" s="809"/>
      <c r="M338" s="809"/>
      <c r="N338" s="810"/>
      <c r="O338" s="292"/>
      <c r="P338" s="389"/>
      <c r="Q338" s="389"/>
      <c r="R338" s="389"/>
      <c r="S338" s="389"/>
      <c r="T338" s="389"/>
      <c r="U338" s="389"/>
      <c r="V338" s="389"/>
      <c r="W338" s="389"/>
      <c r="X338" s="389"/>
      <c r="Y338" s="389"/>
      <c r="Z338" s="389"/>
      <c r="AA338" s="389"/>
      <c r="AB338" s="236"/>
      <c r="AC338" s="236"/>
      <c r="AD338" s="236"/>
      <c r="AE338" s="236"/>
      <c r="AF338" s="236"/>
      <c r="AG338" s="236"/>
      <c r="AH338" s="236"/>
      <c r="AI338" s="236"/>
      <c r="AJ338" s="236"/>
      <c r="AK338" s="236"/>
      <c r="AL338" s="236"/>
      <c r="AM338" s="236"/>
      <c r="AN338" s="236"/>
      <c r="AO338" s="236"/>
      <c r="AP338" s="236"/>
      <c r="AQ338" s="236"/>
      <c r="AR338" s="236"/>
      <c r="AS338" s="236"/>
      <c r="AT338" s="236"/>
      <c r="AU338" s="236"/>
      <c r="AV338" s="236"/>
      <c r="AW338" s="236"/>
      <c r="AX338" s="236"/>
      <c r="AY338" s="236"/>
      <c r="AZ338" s="236"/>
      <c r="BA338" s="236"/>
      <c r="BB338" s="236"/>
      <c r="BC338" s="236"/>
      <c r="BD338" s="236"/>
      <c r="BE338" s="236"/>
      <c r="BF338" s="236"/>
      <c r="BG338" s="236"/>
      <c r="BH338" s="236"/>
      <c r="BI338" s="236"/>
      <c r="BJ338" s="236"/>
      <c r="BK338" s="236"/>
      <c r="BL338" s="236"/>
      <c r="BM338" s="236"/>
      <c r="BN338" s="236"/>
      <c r="BO338" s="236"/>
      <c r="BP338" s="236"/>
      <c r="BQ338" s="236"/>
      <c r="BR338" s="236"/>
      <c r="BS338" s="236"/>
      <c r="BT338" s="236"/>
      <c r="BU338" s="236"/>
      <c r="BV338" s="236"/>
      <c r="BW338" s="236"/>
      <c r="BX338" s="236"/>
      <c r="BY338" s="236"/>
      <c r="BZ338" s="236"/>
      <c r="CA338" s="236"/>
      <c r="CB338" s="236"/>
      <c r="CC338" s="236"/>
      <c r="CD338" s="236"/>
      <c r="CE338" s="236"/>
      <c r="CF338" s="236"/>
      <c r="CG338" s="236"/>
      <c r="CH338" s="236"/>
      <c r="CI338" s="236"/>
      <c r="CJ338" s="236"/>
      <c r="CK338" s="236"/>
      <c r="CL338" s="236"/>
      <c r="CM338" s="236"/>
      <c r="CN338" s="236"/>
      <c r="CO338" s="236"/>
      <c r="CP338" s="236"/>
      <c r="CQ338" s="236"/>
      <c r="CR338" s="236"/>
      <c r="CS338" s="236"/>
      <c r="CT338" s="236"/>
      <c r="CU338" s="236"/>
      <c r="CV338" s="236"/>
      <c r="CW338" s="236"/>
      <c r="CX338" s="236"/>
      <c r="CY338" s="236"/>
      <c r="CZ338" s="236"/>
      <c r="DA338" s="236"/>
      <c r="DB338" s="236"/>
      <c r="DC338" s="236"/>
      <c r="DD338" s="236"/>
      <c r="DE338" s="236"/>
      <c r="DF338" s="236"/>
      <c r="DG338" s="236"/>
      <c r="DH338" s="236"/>
      <c r="DI338" s="236"/>
      <c r="DJ338" s="236"/>
      <c r="DK338" s="236"/>
      <c r="DL338" s="236"/>
      <c r="DM338" s="236"/>
      <c r="DN338" s="236"/>
      <c r="DO338" s="236"/>
      <c r="DP338" s="236"/>
      <c r="DQ338" s="236"/>
      <c r="DR338" s="236"/>
      <c r="DS338" s="236"/>
      <c r="DT338" s="236"/>
      <c r="DU338" s="236"/>
      <c r="DV338" s="236"/>
      <c r="DW338" s="236"/>
      <c r="DX338" s="236"/>
      <c r="DY338" s="236"/>
      <c r="DZ338" s="236"/>
      <c r="EA338" s="236"/>
      <c r="EB338" s="236"/>
      <c r="EC338" s="236"/>
      <c r="ED338" s="236"/>
      <c r="EE338" s="236"/>
      <c r="EF338" s="236"/>
      <c r="EG338" s="236"/>
      <c r="EH338" s="236"/>
      <c r="EI338" s="236"/>
      <c r="EJ338" s="236"/>
      <c r="EK338" s="236"/>
      <c r="EL338" s="236"/>
      <c r="EM338" s="236"/>
      <c r="EN338" s="236"/>
    </row>
    <row r="339" spans="1:144" s="83" customFormat="1" ht="34.5" customHeight="1">
      <c r="B339" s="148"/>
      <c r="C339" s="808" t="s">
        <v>248</v>
      </c>
      <c r="D339" s="809"/>
      <c r="E339" s="809"/>
      <c r="F339" s="809"/>
      <c r="G339" s="809"/>
      <c r="H339" s="809"/>
      <c r="I339" s="809"/>
      <c r="J339" s="809"/>
      <c r="K339" s="809"/>
      <c r="L339" s="809"/>
      <c r="M339" s="809"/>
      <c r="N339" s="810"/>
      <c r="O339" s="292"/>
      <c r="P339" s="389"/>
      <c r="Q339" s="389"/>
      <c r="R339" s="389"/>
      <c r="S339" s="389"/>
      <c r="T339" s="389"/>
      <c r="U339" s="389"/>
      <c r="V339" s="389"/>
      <c r="W339" s="389"/>
      <c r="X339" s="389"/>
      <c r="Y339" s="389"/>
      <c r="Z339" s="389"/>
      <c r="AA339" s="389"/>
      <c r="AB339" s="236"/>
      <c r="AC339" s="236"/>
      <c r="AD339" s="236"/>
      <c r="AE339" s="236"/>
      <c r="AF339" s="236"/>
      <c r="AG339" s="236"/>
      <c r="AH339" s="236"/>
      <c r="AI339" s="236"/>
      <c r="AJ339" s="236"/>
      <c r="AK339" s="236"/>
      <c r="AL339" s="236"/>
      <c r="AM339" s="236"/>
      <c r="AN339" s="236"/>
      <c r="AO339" s="236"/>
      <c r="AP339" s="236"/>
      <c r="AQ339" s="236"/>
      <c r="AR339" s="236"/>
      <c r="AS339" s="236"/>
      <c r="AT339" s="236"/>
      <c r="AU339" s="236"/>
      <c r="AV339" s="236"/>
      <c r="AW339" s="236"/>
      <c r="AX339" s="236"/>
      <c r="AY339" s="236"/>
      <c r="AZ339" s="236"/>
      <c r="BA339" s="236"/>
      <c r="BB339" s="236"/>
      <c r="BC339" s="236"/>
      <c r="BD339" s="236"/>
      <c r="BE339" s="236"/>
      <c r="BF339" s="236"/>
      <c r="BG339" s="236"/>
      <c r="BH339" s="236"/>
      <c r="BI339" s="236"/>
      <c r="BJ339" s="236"/>
      <c r="BK339" s="236"/>
      <c r="BL339" s="236"/>
      <c r="BM339" s="236"/>
      <c r="BN339" s="236"/>
      <c r="BO339" s="236"/>
      <c r="BP339" s="236"/>
      <c r="BQ339" s="236"/>
      <c r="BR339" s="236"/>
      <c r="BS339" s="236"/>
      <c r="BT339" s="236"/>
      <c r="BU339" s="236"/>
      <c r="BV339" s="236"/>
      <c r="BW339" s="236"/>
      <c r="BX339" s="236"/>
      <c r="BY339" s="236"/>
      <c r="BZ339" s="236"/>
      <c r="CA339" s="236"/>
      <c r="CB339" s="236"/>
      <c r="CC339" s="236"/>
      <c r="CD339" s="236"/>
      <c r="CE339" s="236"/>
      <c r="CF339" s="236"/>
      <c r="CG339" s="236"/>
      <c r="CH339" s="236"/>
      <c r="CI339" s="236"/>
      <c r="CJ339" s="236"/>
      <c r="CK339" s="236"/>
      <c r="CL339" s="236"/>
      <c r="CM339" s="236"/>
      <c r="CN339" s="236"/>
      <c r="CO339" s="236"/>
      <c r="CP339" s="236"/>
      <c r="CQ339" s="236"/>
      <c r="CR339" s="236"/>
      <c r="CS339" s="236"/>
      <c r="CT339" s="236"/>
      <c r="CU339" s="236"/>
      <c r="CV339" s="236"/>
      <c r="CW339" s="236"/>
      <c r="CX339" s="236"/>
      <c r="CY339" s="236"/>
      <c r="CZ339" s="236"/>
      <c r="DA339" s="236"/>
      <c r="DB339" s="236"/>
      <c r="DC339" s="236"/>
      <c r="DD339" s="236"/>
      <c r="DE339" s="236"/>
      <c r="DF339" s="236"/>
      <c r="DG339" s="236"/>
      <c r="DH339" s="236"/>
      <c r="DI339" s="236"/>
      <c r="DJ339" s="236"/>
      <c r="DK339" s="236"/>
      <c r="DL339" s="236"/>
      <c r="DM339" s="236"/>
      <c r="DN339" s="236"/>
      <c r="DO339" s="236"/>
      <c r="DP339" s="236"/>
      <c r="DQ339" s="236"/>
      <c r="DR339" s="236"/>
      <c r="DS339" s="236"/>
      <c r="DT339" s="236"/>
      <c r="DU339" s="236"/>
      <c r="DV339" s="236"/>
      <c r="DW339" s="236"/>
      <c r="DX339" s="236"/>
      <c r="DY339" s="236"/>
      <c r="DZ339" s="236"/>
      <c r="EA339" s="236"/>
      <c r="EB339" s="236"/>
      <c r="EC339" s="236"/>
      <c r="ED339" s="236"/>
      <c r="EE339" s="236"/>
      <c r="EF339" s="236"/>
      <c r="EG339" s="236"/>
      <c r="EH339" s="236"/>
      <c r="EI339" s="236"/>
      <c r="EJ339" s="236"/>
      <c r="EK339" s="236"/>
      <c r="EL339" s="236"/>
      <c r="EM339" s="236"/>
      <c r="EN339" s="236"/>
    </row>
    <row r="340" spans="1:144" s="149" customFormat="1" ht="27.75" customHeight="1">
      <c r="B340" s="150"/>
      <c r="C340" s="799" t="s">
        <v>249</v>
      </c>
      <c r="D340" s="800"/>
      <c r="E340" s="800"/>
      <c r="F340" s="800"/>
      <c r="G340" s="800"/>
      <c r="H340" s="800"/>
      <c r="I340" s="800"/>
      <c r="J340" s="800"/>
      <c r="K340" s="800"/>
      <c r="L340" s="800"/>
      <c r="M340" s="800"/>
      <c r="N340" s="801"/>
      <c r="O340" s="293"/>
      <c r="P340" s="391"/>
      <c r="Q340" s="391"/>
      <c r="R340" s="391"/>
      <c r="S340" s="391"/>
      <c r="T340" s="391"/>
      <c r="U340" s="391"/>
      <c r="V340" s="391"/>
      <c r="W340" s="391"/>
      <c r="X340" s="391"/>
      <c r="Y340" s="391"/>
      <c r="Z340" s="391"/>
      <c r="AA340" s="39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1"/>
      <c r="BW340" s="151"/>
      <c r="BX340" s="151"/>
      <c r="BY340" s="151"/>
      <c r="BZ340" s="151"/>
      <c r="CA340" s="151"/>
      <c r="CB340" s="151"/>
      <c r="CC340" s="151"/>
      <c r="CD340" s="151"/>
      <c r="CE340" s="151"/>
      <c r="CF340" s="151"/>
      <c r="CG340" s="151"/>
      <c r="CH340" s="151"/>
      <c r="CI340" s="151"/>
      <c r="CJ340" s="151"/>
      <c r="CK340" s="151"/>
      <c r="CL340" s="151"/>
      <c r="CM340" s="151"/>
      <c r="CN340" s="151"/>
      <c r="CO340" s="151"/>
      <c r="CP340" s="151"/>
      <c r="CQ340" s="151"/>
      <c r="CR340" s="151"/>
      <c r="CS340" s="151"/>
      <c r="CT340" s="151"/>
      <c r="CU340" s="151"/>
      <c r="CV340" s="151"/>
      <c r="CW340" s="151"/>
      <c r="CX340" s="151"/>
      <c r="CY340" s="151"/>
      <c r="CZ340" s="151"/>
      <c r="DA340" s="151"/>
      <c r="DB340" s="151"/>
      <c r="DC340" s="151"/>
      <c r="DD340" s="151"/>
      <c r="DE340" s="151"/>
      <c r="DF340" s="151"/>
      <c r="DG340" s="151"/>
      <c r="DH340" s="151"/>
      <c r="DI340" s="151"/>
      <c r="DJ340" s="151"/>
      <c r="DK340" s="151"/>
      <c r="DL340" s="151"/>
      <c r="DM340" s="151"/>
      <c r="DN340" s="151"/>
      <c r="DO340" s="151"/>
      <c r="DP340" s="151"/>
      <c r="DQ340" s="151"/>
      <c r="DR340" s="151"/>
      <c r="DS340" s="151"/>
      <c r="DT340" s="151"/>
      <c r="DU340" s="151"/>
      <c r="DV340" s="151"/>
      <c r="DW340" s="151"/>
      <c r="DX340" s="151"/>
      <c r="DY340" s="151"/>
      <c r="DZ340" s="151"/>
      <c r="EA340" s="151"/>
      <c r="EB340" s="151"/>
      <c r="EC340" s="151"/>
      <c r="ED340" s="151"/>
      <c r="EE340" s="151"/>
      <c r="EF340" s="151"/>
      <c r="EG340" s="151"/>
      <c r="EH340" s="151"/>
      <c r="EI340" s="151"/>
      <c r="EJ340" s="151"/>
      <c r="EK340" s="151"/>
      <c r="EL340" s="151"/>
      <c r="EM340" s="151"/>
      <c r="EN340" s="151"/>
    </row>
    <row r="341" spans="1:144" s="149" customFormat="1" ht="60.75" customHeight="1">
      <c r="B341" s="35" t="s">
        <v>430</v>
      </c>
      <c r="C341" s="46" t="s">
        <v>337</v>
      </c>
      <c r="D341" s="35" t="s">
        <v>331</v>
      </c>
      <c r="E341" s="728">
        <v>8702197.5199999996</v>
      </c>
      <c r="F341" s="728">
        <v>8683481.8800000008</v>
      </c>
      <c r="G341" s="47">
        <f>(F341/E341)*100</f>
        <v>99.784932024847919</v>
      </c>
      <c r="H341" s="443">
        <f>G341/100</f>
        <v>0.99784932024847917</v>
      </c>
      <c r="I341" s="46" t="s">
        <v>250</v>
      </c>
      <c r="J341" s="152" t="s">
        <v>12</v>
      </c>
      <c r="K341" s="273" t="s">
        <v>256</v>
      </c>
      <c r="L341" s="273">
        <v>92.8</v>
      </c>
      <c r="M341" s="47">
        <f>L341/90*100</f>
        <v>103.11111111111111</v>
      </c>
      <c r="N341" s="466">
        <f>M341/100</f>
        <v>1.0311111111111111</v>
      </c>
      <c r="O341" s="293"/>
      <c r="P341" s="391"/>
      <c r="Q341" s="391"/>
      <c r="R341" s="391"/>
      <c r="S341" s="391"/>
      <c r="T341" s="391"/>
      <c r="U341" s="391"/>
      <c r="V341" s="391"/>
      <c r="W341" s="391"/>
      <c r="X341" s="391"/>
      <c r="Y341" s="391"/>
      <c r="Z341" s="391"/>
      <c r="AA341" s="39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  <c r="BI341" s="151"/>
      <c r="BJ341" s="151"/>
      <c r="BK341" s="151"/>
      <c r="BL341" s="151"/>
      <c r="BM341" s="151"/>
      <c r="BN341" s="151"/>
      <c r="BO341" s="151"/>
      <c r="BP341" s="151"/>
      <c r="BQ341" s="151"/>
      <c r="BR341" s="151"/>
      <c r="BS341" s="151"/>
      <c r="BT341" s="151"/>
      <c r="BU341" s="151"/>
      <c r="BV341" s="151"/>
      <c r="BW341" s="151"/>
      <c r="BX341" s="151"/>
      <c r="BY341" s="151"/>
      <c r="BZ341" s="151"/>
      <c r="CA341" s="151"/>
      <c r="CB341" s="151"/>
      <c r="CC341" s="151"/>
      <c r="CD341" s="151"/>
      <c r="CE341" s="151"/>
      <c r="CF341" s="151"/>
      <c r="CG341" s="151"/>
      <c r="CH341" s="151"/>
      <c r="CI341" s="151"/>
      <c r="CJ341" s="151"/>
      <c r="CK341" s="151"/>
      <c r="CL341" s="151"/>
      <c r="CM341" s="151"/>
      <c r="CN341" s="151"/>
      <c r="CO341" s="151"/>
      <c r="CP341" s="151"/>
      <c r="CQ341" s="151"/>
      <c r="CR341" s="151"/>
      <c r="CS341" s="151"/>
      <c r="CT341" s="151"/>
      <c r="CU341" s="151"/>
      <c r="CV341" s="151"/>
      <c r="CW341" s="151"/>
      <c r="CX341" s="151"/>
      <c r="CY341" s="151"/>
      <c r="CZ341" s="151"/>
      <c r="DA341" s="151"/>
      <c r="DB341" s="151"/>
      <c r="DC341" s="151"/>
      <c r="DD341" s="151"/>
      <c r="DE341" s="151"/>
      <c r="DF341" s="151"/>
      <c r="DG341" s="151"/>
      <c r="DH341" s="151"/>
      <c r="DI341" s="151"/>
      <c r="DJ341" s="151"/>
      <c r="DK341" s="151"/>
      <c r="DL341" s="151"/>
      <c r="DM341" s="151"/>
      <c r="DN341" s="151"/>
      <c r="DO341" s="151"/>
      <c r="DP341" s="151"/>
      <c r="DQ341" s="151"/>
      <c r="DR341" s="151"/>
      <c r="DS341" s="151"/>
      <c r="DT341" s="151"/>
      <c r="DU341" s="151"/>
      <c r="DV341" s="151"/>
      <c r="DW341" s="151"/>
      <c r="DX341" s="151"/>
      <c r="DY341" s="151"/>
      <c r="DZ341" s="151"/>
      <c r="EA341" s="151"/>
      <c r="EB341" s="151"/>
      <c r="EC341" s="151"/>
      <c r="ED341" s="151"/>
      <c r="EE341" s="151"/>
      <c r="EF341" s="151"/>
      <c r="EG341" s="151"/>
      <c r="EH341" s="151"/>
      <c r="EI341" s="151"/>
      <c r="EJ341" s="151"/>
      <c r="EK341" s="151"/>
      <c r="EL341" s="151"/>
      <c r="EM341" s="151"/>
      <c r="EN341" s="151"/>
    </row>
    <row r="342" spans="1:144" s="149" customFormat="1" ht="42" customHeight="1">
      <c r="B342" s="35" t="s">
        <v>701</v>
      </c>
      <c r="C342" s="46" t="s">
        <v>700</v>
      </c>
      <c r="D342" s="35" t="s">
        <v>331</v>
      </c>
      <c r="E342" s="728">
        <v>341900</v>
      </c>
      <c r="F342" s="728">
        <v>341900</v>
      </c>
      <c r="G342" s="47">
        <f>(F342/E342)*100</f>
        <v>100</v>
      </c>
      <c r="H342" s="443">
        <f>G342/100</f>
        <v>1</v>
      </c>
      <c r="I342" s="46" t="s">
        <v>251</v>
      </c>
      <c r="J342" s="152" t="s">
        <v>12</v>
      </c>
      <c r="K342" s="273" t="s">
        <v>257</v>
      </c>
      <c r="L342" s="273">
        <v>98</v>
      </c>
      <c r="M342" s="47">
        <f>L342/95*100</f>
        <v>103.15789473684211</v>
      </c>
      <c r="N342" s="466">
        <f t="shared" ref="N342:N350" si="20">M342/100</f>
        <v>1.0315789473684212</v>
      </c>
      <c r="O342" s="293"/>
      <c r="P342" s="391"/>
      <c r="Q342" s="391"/>
      <c r="R342" s="391"/>
      <c r="S342" s="391"/>
      <c r="T342" s="391"/>
      <c r="U342" s="391"/>
      <c r="V342" s="391"/>
      <c r="W342" s="391"/>
      <c r="X342" s="391"/>
      <c r="Y342" s="391"/>
      <c r="Z342" s="391"/>
      <c r="AA342" s="39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51"/>
      <c r="BN342" s="151"/>
      <c r="BO342" s="151"/>
      <c r="BP342" s="151"/>
      <c r="BQ342" s="151"/>
      <c r="BR342" s="151"/>
      <c r="BS342" s="151"/>
      <c r="BT342" s="151"/>
      <c r="BU342" s="151"/>
      <c r="BV342" s="151"/>
      <c r="BW342" s="151"/>
      <c r="BX342" s="151"/>
      <c r="BY342" s="151"/>
      <c r="BZ342" s="151"/>
      <c r="CA342" s="151"/>
      <c r="CB342" s="151"/>
      <c r="CC342" s="151"/>
      <c r="CD342" s="151"/>
      <c r="CE342" s="151"/>
      <c r="CF342" s="151"/>
      <c r="CG342" s="151"/>
      <c r="CH342" s="151"/>
      <c r="CI342" s="151"/>
      <c r="CJ342" s="151"/>
      <c r="CK342" s="151"/>
      <c r="CL342" s="151"/>
      <c r="CM342" s="151"/>
      <c r="CN342" s="151"/>
      <c r="CO342" s="151"/>
      <c r="CP342" s="151"/>
      <c r="CQ342" s="151"/>
      <c r="CR342" s="151"/>
      <c r="CS342" s="151"/>
      <c r="CT342" s="151"/>
      <c r="CU342" s="151"/>
      <c r="CV342" s="151"/>
      <c r="CW342" s="151"/>
      <c r="CX342" s="151"/>
      <c r="CY342" s="151"/>
      <c r="CZ342" s="151"/>
      <c r="DA342" s="151"/>
      <c r="DB342" s="151"/>
      <c r="DC342" s="151"/>
      <c r="DD342" s="151"/>
      <c r="DE342" s="151"/>
      <c r="DF342" s="151"/>
      <c r="DG342" s="151"/>
      <c r="DH342" s="151"/>
      <c r="DI342" s="151"/>
      <c r="DJ342" s="151"/>
      <c r="DK342" s="151"/>
      <c r="DL342" s="151"/>
      <c r="DM342" s="151"/>
      <c r="DN342" s="151"/>
      <c r="DO342" s="151"/>
      <c r="DP342" s="151"/>
      <c r="DQ342" s="151"/>
      <c r="DR342" s="151"/>
      <c r="DS342" s="151"/>
      <c r="DT342" s="151"/>
      <c r="DU342" s="151"/>
      <c r="DV342" s="151"/>
      <c r="DW342" s="151"/>
      <c r="DX342" s="151"/>
      <c r="DY342" s="151"/>
      <c r="DZ342" s="151"/>
      <c r="EA342" s="151"/>
      <c r="EB342" s="151"/>
      <c r="EC342" s="151"/>
      <c r="ED342" s="151"/>
      <c r="EE342" s="151"/>
      <c r="EF342" s="151"/>
      <c r="EG342" s="151"/>
      <c r="EH342" s="151"/>
      <c r="EI342" s="151"/>
      <c r="EJ342" s="151"/>
      <c r="EK342" s="151"/>
      <c r="EL342" s="151"/>
      <c r="EM342" s="151"/>
      <c r="EN342" s="151"/>
    </row>
    <row r="343" spans="1:144" s="149" customFormat="1" ht="86.25" customHeight="1">
      <c r="B343" s="35" t="s">
        <v>702</v>
      </c>
      <c r="C343" s="46"/>
      <c r="D343" s="35"/>
      <c r="E343" s="303"/>
      <c r="F343" s="303"/>
      <c r="G343" s="47"/>
      <c r="H343" s="443"/>
      <c r="I343" s="46" t="s">
        <v>252</v>
      </c>
      <c r="J343" s="152" t="s">
        <v>12</v>
      </c>
      <c r="K343" s="273">
        <v>100</v>
      </c>
      <c r="L343" s="273">
        <v>100</v>
      </c>
      <c r="M343" s="47">
        <v>100</v>
      </c>
      <c r="N343" s="466">
        <f t="shared" si="20"/>
        <v>1</v>
      </c>
      <c r="O343" s="293"/>
      <c r="P343" s="391"/>
      <c r="Q343" s="391"/>
      <c r="R343" s="391"/>
      <c r="S343" s="391"/>
      <c r="T343" s="391"/>
      <c r="U343" s="391"/>
      <c r="V343" s="391"/>
      <c r="W343" s="391"/>
      <c r="X343" s="391"/>
      <c r="Y343" s="391"/>
      <c r="Z343" s="391"/>
      <c r="AA343" s="39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  <c r="BI343" s="151"/>
      <c r="BJ343" s="151"/>
      <c r="BK343" s="151"/>
      <c r="BL343" s="151"/>
      <c r="BM343" s="151"/>
      <c r="BN343" s="151"/>
      <c r="BO343" s="151"/>
      <c r="BP343" s="151"/>
      <c r="BQ343" s="151"/>
      <c r="BR343" s="151"/>
      <c r="BS343" s="151"/>
      <c r="BT343" s="151"/>
      <c r="BU343" s="151"/>
      <c r="BV343" s="151"/>
      <c r="BW343" s="151"/>
      <c r="BX343" s="151"/>
      <c r="BY343" s="151"/>
      <c r="BZ343" s="151"/>
      <c r="CA343" s="151"/>
      <c r="CB343" s="151"/>
      <c r="CC343" s="151"/>
      <c r="CD343" s="151"/>
      <c r="CE343" s="151"/>
      <c r="CF343" s="151"/>
      <c r="CG343" s="151"/>
      <c r="CH343" s="151"/>
      <c r="CI343" s="151"/>
      <c r="CJ343" s="151"/>
      <c r="CK343" s="151"/>
      <c r="CL343" s="151"/>
      <c r="CM343" s="151"/>
      <c r="CN343" s="151"/>
      <c r="CO343" s="151"/>
      <c r="CP343" s="151"/>
      <c r="CQ343" s="151"/>
      <c r="CR343" s="151"/>
      <c r="CS343" s="151"/>
      <c r="CT343" s="151"/>
      <c r="CU343" s="151"/>
      <c r="CV343" s="151"/>
      <c r="CW343" s="151"/>
      <c r="CX343" s="151"/>
      <c r="CY343" s="151"/>
      <c r="CZ343" s="151"/>
      <c r="DA343" s="151"/>
      <c r="DB343" s="151"/>
      <c r="DC343" s="151"/>
      <c r="DD343" s="151"/>
      <c r="DE343" s="151"/>
      <c r="DF343" s="151"/>
      <c r="DG343" s="151"/>
      <c r="DH343" s="151"/>
      <c r="DI343" s="151"/>
      <c r="DJ343" s="151"/>
      <c r="DK343" s="151"/>
      <c r="DL343" s="151"/>
      <c r="DM343" s="151"/>
      <c r="DN343" s="151"/>
      <c r="DO343" s="151"/>
      <c r="DP343" s="151"/>
      <c r="DQ343" s="151"/>
      <c r="DR343" s="151"/>
      <c r="DS343" s="151"/>
      <c r="DT343" s="151"/>
      <c r="DU343" s="151"/>
      <c r="DV343" s="151"/>
      <c r="DW343" s="151"/>
      <c r="DX343" s="151"/>
      <c r="DY343" s="151"/>
      <c r="DZ343" s="151"/>
      <c r="EA343" s="151"/>
      <c r="EB343" s="151"/>
      <c r="EC343" s="151"/>
      <c r="ED343" s="151"/>
      <c r="EE343" s="151"/>
      <c r="EF343" s="151"/>
      <c r="EG343" s="151"/>
      <c r="EH343" s="151"/>
      <c r="EI343" s="151"/>
      <c r="EJ343" s="151"/>
      <c r="EK343" s="151"/>
      <c r="EL343" s="151"/>
      <c r="EM343" s="151"/>
      <c r="EN343" s="151"/>
    </row>
    <row r="344" spans="1:144" s="149" customFormat="1" ht="107.25" customHeight="1">
      <c r="B344" s="35"/>
      <c r="C344" s="46"/>
      <c r="D344" s="412"/>
      <c r="E344" s="312"/>
      <c r="F344" s="312"/>
      <c r="G344" s="46"/>
      <c r="H344" s="449"/>
      <c r="I344" s="46" t="s">
        <v>253</v>
      </c>
      <c r="J344" s="152" t="s">
        <v>12</v>
      </c>
      <c r="K344" s="273">
        <v>100</v>
      </c>
      <c r="L344" s="273">
        <v>100</v>
      </c>
      <c r="M344" s="47">
        <v>100</v>
      </c>
      <c r="N344" s="466">
        <f t="shared" si="20"/>
        <v>1</v>
      </c>
      <c r="O344" s="293"/>
      <c r="P344" s="391"/>
      <c r="Q344" s="391"/>
      <c r="R344" s="391"/>
      <c r="S344" s="391"/>
      <c r="T344" s="391"/>
      <c r="U344" s="391"/>
      <c r="V344" s="391"/>
      <c r="W344" s="391"/>
      <c r="X344" s="391"/>
      <c r="Y344" s="391"/>
      <c r="Z344" s="391"/>
      <c r="AA344" s="39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  <c r="BI344" s="151"/>
      <c r="BJ344" s="151"/>
      <c r="BK344" s="151"/>
      <c r="BL344" s="151"/>
      <c r="BM344" s="151"/>
      <c r="BN344" s="151"/>
      <c r="BO344" s="151"/>
      <c r="BP344" s="151"/>
      <c r="BQ344" s="151"/>
      <c r="BR344" s="151"/>
      <c r="BS344" s="151"/>
      <c r="BT344" s="151"/>
      <c r="BU344" s="151"/>
      <c r="BV344" s="151"/>
      <c r="BW344" s="151"/>
      <c r="BX344" s="151"/>
      <c r="BY344" s="151"/>
      <c r="BZ344" s="151"/>
      <c r="CA344" s="151"/>
      <c r="CB344" s="151"/>
      <c r="CC344" s="151"/>
      <c r="CD344" s="151"/>
      <c r="CE344" s="151"/>
      <c r="CF344" s="151"/>
      <c r="CG344" s="151"/>
      <c r="CH344" s="151"/>
      <c r="CI344" s="151"/>
      <c r="CJ344" s="151"/>
      <c r="CK344" s="151"/>
      <c r="CL344" s="151"/>
      <c r="CM344" s="151"/>
      <c r="CN344" s="151"/>
      <c r="CO344" s="151"/>
      <c r="CP344" s="151"/>
      <c r="CQ344" s="151"/>
      <c r="CR344" s="151"/>
      <c r="CS344" s="151"/>
      <c r="CT344" s="151"/>
      <c r="CU344" s="151"/>
      <c r="CV344" s="151"/>
      <c r="CW344" s="151"/>
      <c r="CX344" s="151"/>
      <c r="CY344" s="151"/>
      <c r="CZ344" s="151"/>
      <c r="DA344" s="151"/>
      <c r="DB344" s="151"/>
      <c r="DC344" s="151"/>
      <c r="DD344" s="151"/>
      <c r="DE344" s="151"/>
      <c r="DF344" s="151"/>
      <c r="DG344" s="151"/>
      <c r="DH344" s="151"/>
      <c r="DI344" s="151"/>
      <c r="DJ344" s="151"/>
      <c r="DK344" s="151"/>
      <c r="DL344" s="151"/>
      <c r="DM344" s="151"/>
      <c r="DN344" s="151"/>
      <c r="DO344" s="151"/>
      <c r="DP344" s="151"/>
      <c r="DQ344" s="151"/>
      <c r="DR344" s="151"/>
      <c r="DS344" s="151"/>
      <c r="DT344" s="151"/>
      <c r="DU344" s="151"/>
      <c r="DV344" s="151"/>
      <c r="DW344" s="151"/>
      <c r="DX344" s="151"/>
      <c r="DY344" s="151"/>
      <c r="DZ344" s="151"/>
      <c r="EA344" s="151"/>
      <c r="EB344" s="151"/>
      <c r="EC344" s="151"/>
      <c r="ED344" s="151"/>
      <c r="EE344" s="151"/>
      <c r="EF344" s="151"/>
      <c r="EG344" s="151"/>
      <c r="EH344" s="151"/>
      <c r="EI344" s="151"/>
      <c r="EJ344" s="151"/>
      <c r="EK344" s="151"/>
      <c r="EL344" s="151"/>
      <c r="EM344" s="151"/>
      <c r="EN344" s="151"/>
    </row>
    <row r="345" spans="1:144" s="149" customFormat="1" ht="69.75" customHeight="1">
      <c r="B345" s="150"/>
      <c r="C345" s="46"/>
      <c r="D345" s="412"/>
      <c r="E345" s="312"/>
      <c r="F345" s="312"/>
      <c r="G345" s="46"/>
      <c r="H345" s="449"/>
      <c r="I345" s="46" t="s">
        <v>254</v>
      </c>
      <c r="J345" s="152" t="s">
        <v>23</v>
      </c>
      <c r="K345" s="273">
        <v>1</v>
      </c>
      <c r="L345" s="273">
        <v>1</v>
      </c>
      <c r="M345" s="47">
        <v>100</v>
      </c>
      <c r="N345" s="466">
        <f t="shared" si="20"/>
        <v>1</v>
      </c>
      <c r="O345" s="293"/>
      <c r="P345" s="391"/>
      <c r="Q345" s="391"/>
      <c r="R345" s="391"/>
      <c r="S345" s="391"/>
      <c r="T345" s="391"/>
      <c r="U345" s="391"/>
      <c r="V345" s="391"/>
      <c r="W345" s="391"/>
      <c r="X345" s="391"/>
      <c r="Y345" s="391"/>
      <c r="Z345" s="391"/>
      <c r="AA345" s="39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  <c r="BI345" s="151"/>
      <c r="BJ345" s="151"/>
      <c r="BK345" s="151"/>
      <c r="BL345" s="151"/>
      <c r="BM345" s="151"/>
      <c r="BN345" s="151"/>
      <c r="BO345" s="151"/>
      <c r="BP345" s="151"/>
      <c r="BQ345" s="151"/>
      <c r="BR345" s="151"/>
      <c r="BS345" s="151"/>
      <c r="BT345" s="151"/>
      <c r="BU345" s="151"/>
      <c r="BV345" s="151"/>
      <c r="BW345" s="151"/>
      <c r="BX345" s="151"/>
      <c r="BY345" s="151"/>
      <c r="BZ345" s="151"/>
      <c r="CA345" s="151"/>
      <c r="CB345" s="151"/>
      <c r="CC345" s="151"/>
      <c r="CD345" s="151"/>
      <c r="CE345" s="151"/>
      <c r="CF345" s="151"/>
      <c r="CG345" s="151"/>
      <c r="CH345" s="151"/>
      <c r="CI345" s="151"/>
      <c r="CJ345" s="151"/>
      <c r="CK345" s="151"/>
      <c r="CL345" s="151"/>
      <c r="CM345" s="151"/>
      <c r="CN345" s="151"/>
      <c r="CO345" s="151"/>
      <c r="CP345" s="151"/>
      <c r="CQ345" s="151"/>
      <c r="CR345" s="151"/>
      <c r="CS345" s="151"/>
      <c r="CT345" s="151"/>
      <c r="CU345" s="151"/>
      <c r="CV345" s="151"/>
      <c r="CW345" s="151"/>
      <c r="CX345" s="151"/>
      <c r="CY345" s="151"/>
      <c r="CZ345" s="151"/>
      <c r="DA345" s="151"/>
      <c r="DB345" s="151"/>
      <c r="DC345" s="151"/>
      <c r="DD345" s="151"/>
      <c r="DE345" s="151"/>
      <c r="DF345" s="151"/>
      <c r="DG345" s="151"/>
      <c r="DH345" s="151"/>
      <c r="DI345" s="151"/>
      <c r="DJ345" s="151"/>
      <c r="DK345" s="151"/>
      <c r="DL345" s="151"/>
      <c r="DM345" s="151"/>
      <c r="DN345" s="151"/>
      <c r="DO345" s="151"/>
      <c r="DP345" s="151"/>
      <c r="DQ345" s="151"/>
      <c r="DR345" s="151"/>
      <c r="DS345" s="151"/>
      <c r="DT345" s="151"/>
      <c r="DU345" s="151"/>
      <c r="DV345" s="151"/>
      <c r="DW345" s="151"/>
      <c r="DX345" s="151"/>
      <c r="DY345" s="151"/>
      <c r="DZ345" s="151"/>
      <c r="EA345" s="151"/>
      <c r="EB345" s="151"/>
      <c r="EC345" s="151"/>
      <c r="ED345" s="151"/>
      <c r="EE345" s="151"/>
      <c r="EF345" s="151"/>
      <c r="EG345" s="151"/>
      <c r="EH345" s="151"/>
      <c r="EI345" s="151"/>
      <c r="EJ345" s="151"/>
      <c r="EK345" s="151"/>
      <c r="EL345" s="151"/>
      <c r="EM345" s="151"/>
      <c r="EN345" s="151"/>
    </row>
    <row r="346" spans="1:144" s="149" customFormat="1" ht="54.75" customHeight="1">
      <c r="B346" s="150"/>
      <c r="C346" s="73"/>
      <c r="D346" s="413"/>
      <c r="E346" s="313"/>
      <c r="F346" s="313"/>
      <c r="G346" s="46"/>
      <c r="H346" s="449"/>
      <c r="I346" s="46" t="s">
        <v>255</v>
      </c>
      <c r="J346" s="152" t="s">
        <v>12</v>
      </c>
      <c r="K346" s="273">
        <v>85</v>
      </c>
      <c r="L346" s="273">
        <v>75</v>
      </c>
      <c r="M346" s="47">
        <f>L346/K346*100</f>
        <v>88.235294117647058</v>
      </c>
      <c r="N346" s="466">
        <f t="shared" si="20"/>
        <v>0.88235294117647056</v>
      </c>
      <c r="O346" s="289"/>
      <c r="P346" s="391"/>
      <c r="Q346" s="391"/>
      <c r="R346" s="391"/>
      <c r="S346" s="391"/>
      <c r="T346" s="391"/>
      <c r="U346" s="391"/>
      <c r="V346" s="391"/>
      <c r="W346" s="391"/>
      <c r="X346" s="391"/>
      <c r="Y346" s="391"/>
      <c r="Z346" s="391"/>
      <c r="AA346" s="39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  <c r="BI346" s="151"/>
      <c r="BJ346" s="151"/>
      <c r="BK346" s="151"/>
      <c r="BL346" s="151"/>
      <c r="BM346" s="151"/>
      <c r="BN346" s="151"/>
      <c r="BO346" s="151"/>
      <c r="BP346" s="151"/>
      <c r="BQ346" s="151"/>
      <c r="BR346" s="151"/>
      <c r="BS346" s="151"/>
      <c r="BT346" s="151"/>
      <c r="BU346" s="151"/>
      <c r="BV346" s="151"/>
      <c r="BW346" s="151"/>
      <c r="BX346" s="151"/>
      <c r="BY346" s="151"/>
      <c r="BZ346" s="151"/>
      <c r="CA346" s="151"/>
      <c r="CB346" s="151"/>
      <c r="CC346" s="151"/>
      <c r="CD346" s="151"/>
      <c r="CE346" s="151"/>
      <c r="CF346" s="151"/>
      <c r="CG346" s="151"/>
      <c r="CH346" s="151"/>
      <c r="CI346" s="151"/>
      <c r="CJ346" s="151"/>
      <c r="CK346" s="151"/>
      <c r="CL346" s="151"/>
      <c r="CM346" s="151"/>
      <c r="CN346" s="151"/>
      <c r="CO346" s="151"/>
      <c r="CP346" s="151"/>
      <c r="CQ346" s="151"/>
      <c r="CR346" s="151"/>
      <c r="CS346" s="151"/>
      <c r="CT346" s="151"/>
      <c r="CU346" s="151"/>
      <c r="CV346" s="151"/>
      <c r="CW346" s="151"/>
      <c r="CX346" s="151"/>
      <c r="CY346" s="151"/>
      <c r="CZ346" s="151"/>
      <c r="DA346" s="151"/>
      <c r="DB346" s="151"/>
      <c r="DC346" s="151"/>
      <c r="DD346" s="151"/>
      <c r="DE346" s="151"/>
      <c r="DF346" s="151"/>
      <c r="DG346" s="151"/>
      <c r="DH346" s="151"/>
      <c r="DI346" s="151"/>
      <c r="DJ346" s="151"/>
      <c r="DK346" s="151"/>
      <c r="DL346" s="151"/>
      <c r="DM346" s="151"/>
      <c r="DN346" s="151"/>
      <c r="DO346" s="151"/>
      <c r="DP346" s="151"/>
      <c r="DQ346" s="151"/>
      <c r="DR346" s="151"/>
      <c r="DS346" s="151"/>
      <c r="DT346" s="151"/>
      <c r="DU346" s="151"/>
      <c r="DV346" s="151"/>
      <c r="DW346" s="151"/>
      <c r="DX346" s="151"/>
      <c r="DY346" s="151"/>
      <c r="DZ346" s="151"/>
      <c r="EA346" s="151"/>
      <c r="EB346" s="151"/>
      <c r="EC346" s="151"/>
      <c r="ED346" s="151"/>
      <c r="EE346" s="151"/>
      <c r="EF346" s="151"/>
      <c r="EG346" s="151"/>
      <c r="EH346" s="151"/>
      <c r="EI346" s="151"/>
      <c r="EJ346" s="151"/>
      <c r="EK346" s="151"/>
      <c r="EL346" s="151"/>
      <c r="EM346" s="151"/>
      <c r="EN346" s="151"/>
    </row>
    <row r="347" spans="1:144" s="149" customFormat="1" ht="54.75" customHeight="1">
      <c r="B347" s="150"/>
      <c r="C347" s="73"/>
      <c r="D347" s="413"/>
      <c r="E347" s="313"/>
      <c r="F347" s="313"/>
      <c r="G347" s="46"/>
      <c r="H347" s="449"/>
      <c r="I347" s="46" t="s">
        <v>703</v>
      </c>
      <c r="J347" s="152" t="s">
        <v>12</v>
      </c>
      <c r="K347" s="694" t="s">
        <v>706</v>
      </c>
      <c r="L347" s="692">
        <v>100</v>
      </c>
      <c r="M347" s="47">
        <f>L347/97*100</f>
        <v>103.09278350515463</v>
      </c>
      <c r="N347" s="466">
        <f t="shared" si="20"/>
        <v>1.0309278350515463</v>
      </c>
      <c r="O347" s="289"/>
      <c r="P347" s="391"/>
      <c r="Q347" s="391"/>
      <c r="R347" s="391"/>
      <c r="S347" s="391"/>
      <c r="T347" s="391"/>
      <c r="U347" s="391"/>
      <c r="V347" s="391"/>
      <c r="W347" s="391"/>
      <c r="X347" s="391"/>
      <c r="Y347" s="391"/>
      <c r="Z347" s="391"/>
      <c r="AA347" s="39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  <c r="BI347" s="151"/>
      <c r="BJ347" s="151"/>
      <c r="BK347" s="151"/>
      <c r="BL347" s="151"/>
      <c r="BM347" s="151"/>
      <c r="BN347" s="151"/>
      <c r="BO347" s="151"/>
      <c r="BP347" s="151"/>
      <c r="BQ347" s="151"/>
      <c r="BR347" s="151"/>
      <c r="BS347" s="151"/>
      <c r="BT347" s="151"/>
      <c r="BU347" s="151"/>
      <c r="BV347" s="151"/>
      <c r="BW347" s="151"/>
      <c r="BX347" s="151"/>
      <c r="BY347" s="151"/>
      <c r="BZ347" s="151"/>
      <c r="CA347" s="151"/>
      <c r="CB347" s="151"/>
      <c r="CC347" s="151"/>
      <c r="CD347" s="151"/>
      <c r="CE347" s="151"/>
      <c r="CF347" s="151"/>
      <c r="CG347" s="151"/>
      <c r="CH347" s="151"/>
      <c r="CI347" s="151"/>
      <c r="CJ347" s="151"/>
      <c r="CK347" s="151"/>
      <c r="CL347" s="151"/>
      <c r="CM347" s="151"/>
      <c r="CN347" s="151"/>
      <c r="CO347" s="151"/>
      <c r="CP347" s="151"/>
      <c r="CQ347" s="151"/>
      <c r="CR347" s="151"/>
      <c r="CS347" s="151"/>
      <c r="CT347" s="151"/>
      <c r="CU347" s="151"/>
      <c r="CV347" s="151"/>
      <c r="CW347" s="151"/>
      <c r="CX347" s="151"/>
      <c r="CY347" s="151"/>
      <c r="CZ347" s="151"/>
      <c r="DA347" s="151"/>
      <c r="DB347" s="151"/>
      <c r="DC347" s="151"/>
      <c r="DD347" s="151"/>
      <c r="DE347" s="151"/>
      <c r="DF347" s="151"/>
      <c r="DG347" s="151"/>
      <c r="DH347" s="151"/>
      <c r="DI347" s="151"/>
      <c r="DJ347" s="151"/>
      <c r="DK347" s="151"/>
      <c r="DL347" s="151"/>
      <c r="DM347" s="151"/>
      <c r="DN347" s="151"/>
      <c r="DO347" s="151"/>
      <c r="DP347" s="151"/>
      <c r="DQ347" s="151"/>
      <c r="DR347" s="151"/>
      <c r="DS347" s="151"/>
      <c r="DT347" s="151"/>
      <c r="DU347" s="151"/>
      <c r="DV347" s="151"/>
      <c r="DW347" s="151"/>
      <c r="DX347" s="151"/>
      <c r="DY347" s="151"/>
      <c r="DZ347" s="151"/>
      <c r="EA347" s="151"/>
      <c r="EB347" s="151"/>
      <c r="EC347" s="151"/>
      <c r="ED347" s="151"/>
      <c r="EE347" s="151"/>
      <c r="EF347" s="151"/>
      <c r="EG347" s="151"/>
      <c r="EH347" s="151"/>
      <c r="EI347" s="151"/>
      <c r="EJ347" s="151"/>
      <c r="EK347" s="151"/>
      <c r="EL347" s="151"/>
      <c r="EM347" s="151"/>
      <c r="EN347" s="151"/>
    </row>
    <row r="348" spans="1:144" s="149" customFormat="1" ht="54.75" customHeight="1">
      <c r="B348" s="150"/>
      <c r="C348" s="73"/>
      <c r="D348" s="413"/>
      <c r="E348" s="313"/>
      <c r="F348" s="313"/>
      <c r="G348" s="46"/>
      <c r="H348" s="449"/>
      <c r="I348" s="46" t="s">
        <v>704</v>
      </c>
      <c r="J348" s="152" t="s">
        <v>12</v>
      </c>
      <c r="K348" s="694" t="s">
        <v>357</v>
      </c>
      <c r="L348" s="692">
        <v>100</v>
      </c>
      <c r="M348" s="47">
        <f>L348/90*100</f>
        <v>111.11111111111111</v>
      </c>
      <c r="N348" s="466">
        <f t="shared" si="20"/>
        <v>1.1111111111111112</v>
      </c>
      <c r="O348" s="289"/>
      <c r="P348" s="391"/>
      <c r="Q348" s="391"/>
      <c r="R348" s="391"/>
      <c r="S348" s="391"/>
      <c r="T348" s="391"/>
      <c r="U348" s="391"/>
      <c r="V348" s="391"/>
      <c r="W348" s="391"/>
      <c r="X348" s="391"/>
      <c r="Y348" s="391"/>
      <c r="Z348" s="391"/>
      <c r="AA348" s="39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  <c r="BI348" s="151"/>
      <c r="BJ348" s="151"/>
      <c r="BK348" s="151"/>
      <c r="BL348" s="151"/>
      <c r="BM348" s="151"/>
      <c r="BN348" s="151"/>
      <c r="BO348" s="151"/>
      <c r="BP348" s="151"/>
      <c r="BQ348" s="151"/>
      <c r="BR348" s="151"/>
      <c r="BS348" s="151"/>
      <c r="BT348" s="151"/>
      <c r="BU348" s="151"/>
      <c r="BV348" s="151"/>
      <c r="BW348" s="151"/>
      <c r="BX348" s="151"/>
      <c r="BY348" s="151"/>
      <c r="BZ348" s="151"/>
      <c r="CA348" s="151"/>
      <c r="CB348" s="151"/>
      <c r="CC348" s="151"/>
      <c r="CD348" s="151"/>
      <c r="CE348" s="151"/>
      <c r="CF348" s="151"/>
      <c r="CG348" s="151"/>
      <c r="CH348" s="151"/>
      <c r="CI348" s="151"/>
      <c r="CJ348" s="151"/>
      <c r="CK348" s="151"/>
      <c r="CL348" s="151"/>
      <c r="CM348" s="151"/>
      <c r="CN348" s="151"/>
      <c r="CO348" s="151"/>
      <c r="CP348" s="151"/>
      <c r="CQ348" s="151"/>
      <c r="CR348" s="151"/>
      <c r="CS348" s="151"/>
      <c r="CT348" s="151"/>
      <c r="CU348" s="151"/>
      <c r="CV348" s="151"/>
      <c r="CW348" s="151"/>
      <c r="CX348" s="151"/>
      <c r="CY348" s="151"/>
      <c r="CZ348" s="151"/>
      <c r="DA348" s="151"/>
      <c r="DB348" s="151"/>
      <c r="DC348" s="151"/>
      <c r="DD348" s="151"/>
      <c r="DE348" s="151"/>
      <c r="DF348" s="151"/>
      <c r="DG348" s="151"/>
      <c r="DH348" s="151"/>
      <c r="DI348" s="151"/>
      <c r="DJ348" s="151"/>
      <c r="DK348" s="151"/>
      <c r="DL348" s="151"/>
      <c r="DM348" s="151"/>
      <c r="DN348" s="151"/>
      <c r="DO348" s="151"/>
      <c r="DP348" s="151"/>
      <c r="DQ348" s="151"/>
      <c r="DR348" s="151"/>
      <c r="DS348" s="151"/>
      <c r="DT348" s="151"/>
      <c r="DU348" s="151"/>
      <c r="DV348" s="151"/>
      <c r="DW348" s="151"/>
      <c r="DX348" s="151"/>
      <c r="DY348" s="151"/>
      <c r="DZ348" s="151"/>
      <c r="EA348" s="151"/>
      <c r="EB348" s="151"/>
      <c r="EC348" s="151"/>
      <c r="ED348" s="151"/>
      <c r="EE348" s="151"/>
      <c r="EF348" s="151"/>
      <c r="EG348" s="151"/>
      <c r="EH348" s="151"/>
      <c r="EI348" s="151"/>
      <c r="EJ348" s="151"/>
      <c r="EK348" s="151"/>
      <c r="EL348" s="151"/>
      <c r="EM348" s="151"/>
      <c r="EN348" s="151"/>
    </row>
    <row r="349" spans="1:144" s="149" customFormat="1" ht="54.75" customHeight="1">
      <c r="B349" s="150"/>
      <c r="C349" s="73"/>
      <c r="D349" s="413"/>
      <c r="E349" s="313"/>
      <c r="F349" s="313"/>
      <c r="G349" s="46"/>
      <c r="H349" s="449"/>
      <c r="I349" s="46" t="s">
        <v>705</v>
      </c>
      <c r="J349" s="152" t="s">
        <v>12</v>
      </c>
      <c r="K349" s="693">
        <v>100</v>
      </c>
      <c r="L349" s="692">
        <v>100</v>
      </c>
      <c r="M349" s="47">
        <v>100</v>
      </c>
      <c r="N349" s="466">
        <f t="shared" si="20"/>
        <v>1</v>
      </c>
      <c r="O349" s="289"/>
      <c r="P349" s="391"/>
      <c r="Q349" s="391"/>
      <c r="R349" s="391"/>
      <c r="S349" s="391"/>
      <c r="T349" s="391"/>
      <c r="U349" s="391"/>
      <c r="V349" s="391"/>
      <c r="W349" s="391"/>
      <c r="X349" s="391"/>
      <c r="Y349" s="391"/>
      <c r="Z349" s="391"/>
      <c r="AA349" s="39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1"/>
      <c r="BN349" s="151"/>
      <c r="BO349" s="151"/>
      <c r="BP349" s="151"/>
      <c r="BQ349" s="151"/>
      <c r="BR349" s="151"/>
      <c r="BS349" s="151"/>
      <c r="BT349" s="151"/>
      <c r="BU349" s="151"/>
      <c r="BV349" s="151"/>
      <c r="BW349" s="151"/>
      <c r="BX349" s="151"/>
      <c r="BY349" s="151"/>
      <c r="BZ349" s="151"/>
      <c r="CA349" s="151"/>
      <c r="CB349" s="151"/>
      <c r="CC349" s="151"/>
      <c r="CD349" s="151"/>
      <c r="CE349" s="151"/>
      <c r="CF349" s="151"/>
      <c r="CG349" s="151"/>
      <c r="CH349" s="151"/>
      <c r="CI349" s="151"/>
      <c r="CJ349" s="151"/>
      <c r="CK349" s="151"/>
      <c r="CL349" s="151"/>
      <c r="CM349" s="151"/>
      <c r="CN349" s="151"/>
      <c r="CO349" s="151"/>
      <c r="CP349" s="151"/>
      <c r="CQ349" s="151"/>
      <c r="CR349" s="151"/>
      <c r="CS349" s="151"/>
      <c r="CT349" s="151"/>
      <c r="CU349" s="151"/>
      <c r="CV349" s="151"/>
      <c r="CW349" s="151"/>
      <c r="CX349" s="151"/>
      <c r="CY349" s="151"/>
      <c r="CZ349" s="151"/>
      <c r="DA349" s="151"/>
      <c r="DB349" s="151"/>
      <c r="DC349" s="151"/>
      <c r="DD349" s="151"/>
      <c r="DE349" s="151"/>
      <c r="DF349" s="151"/>
      <c r="DG349" s="151"/>
      <c r="DH349" s="151"/>
      <c r="DI349" s="151"/>
      <c r="DJ349" s="151"/>
      <c r="DK349" s="151"/>
      <c r="DL349" s="151"/>
      <c r="DM349" s="151"/>
      <c r="DN349" s="151"/>
      <c r="DO349" s="151"/>
      <c r="DP349" s="151"/>
      <c r="DQ349" s="151"/>
      <c r="DR349" s="151"/>
      <c r="DS349" s="151"/>
      <c r="DT349" s="151"/>
      <c r="DU349" s="151"/>
      <c r="DV349" s="151"/>
      <c r="DW349" s="151"/>
      <c r="DX349" s="151"/>
      <c r="DY349" s="151"/>
      <c r="DZ349" s="151"/>
      <c r="EA349" s="151"/>
      <c r="EB349" s="151"/>
      <c r="EC349" s="151"/>
      <c r="ED349" s="151"/>
      <c r="EE349" s="151"/>
      <c r="EF349" s="151"/>
      <c r="EG349" s="151"/>
      <c r="EH349" s="151"/>
      <c r="EI349" s="151"/>
      <c r="EJ349" s="151"/>
      <c r="EK349" s="151"/>
      <c r="EL349" s="151"/>
      <c r="EM349" s="151"/>
      <c r="EN349" s="151"/>
    </row>
    <row r="350" spans="1:144" s="153" customFormat="1" ht="27.75" customHeight="1">
      <c r="B350" s="154"/>
      <c r="C350" s="70" t="s">
        <v>40</v>
      </c>
      <c r="D350" s="403"/>
      <c r="E350" s="314">
        <f>SUM(E341:E346)</f>
        <v>9044097.5199999996</v>
      </c>
      <c r="F350" s="314">
        <f>SUM(F341:F346)</f>
        <v>9025381.8800000008</v>
      </c>
      <c r="G350" s="484">
        <v>97.7</v>
      </c>
      <c r="H350" s="537">
        <v>0.99</v>
      </c>
      <c r="I350" s="84"/>
      <c r="J350" s="71"/>
      <c r="K350" s="278"/>
      <c r="L350" s="278"/>
      <c r="M350" s="543">
        <f>(M349+M348+M347+M346+M345+M344+M343+M342+M341)/9</f>
        <v>100.96757717576288</v>
      </c>
      <c r="N350" s="723">
        <f t="shared" si="20"/>
        <v>1.0096757717576288</v>
      </c>
      <c r="O350" s="293"/>
      <c r="P350" s="391"/>
      <c r="Q350" s="391"/>
      <c r="R350" s="391"/>
      <c r="S350" s="391"/>
      <c r="T350" s="391"/>
      <c r="U350" s="391"/>
      <c r="V350" s="391"/>
      <c r="W350" s="391"/>
      <c r="X350" s="391"/>
      <c r="Y350" s="391"/>
      <c r="Z350" s="391"/>
      <c r="AA350" s="39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  <c r="BI350" s="151"/>
      <c r="BJ350" s="151"/>
      <c r="BK350" s="151"/>
      <c r="BL350" s="151"/>
      <c r="BM350" s="151"/>
      <c r="BN350" s="151"/>
      <c r="BO350" s="151"/>
      <c r="BP350" s="151"/>
      <c r="BQ350" s="151"/>
      <c r="BR350" s="151"/>
      <c r="BS350" s="151"/>
      <c r="BT350" s="151"/>
      <c r="BU350" s="151"/>
      <c r="BV350" s="151"/>
      <c r="BW350" s="151"/>
      <c r="BX350" s="151"/>
      <c r="BY350" s="151"/>
      <c r="BZ350" s="151"/>
      <c r="CA350" s="151"/>
      <c r="CB350" s="151"/>
      <c r="CC350" s="151"/>
      <c r="CD350" s="151"/>
      <c r="CE350" s="151"/>
      <c r="CF350" s="151"/>
      <c r="CG350" s="151"/>
      <c r="CH350" s="151"/>
      <c r="CI350" s="151"/>
      <c r="CJ350" s="151"/>
      <c r="CK350" s="151"/>
      <c r="CL350" s="151"/>
      <c r="CM350" s="151"/>
      <c r="CN350" s="151"/>
      <c r="CO350" s="151"/>
      <c r="CP350" s="151"/>
      <c r="CQ350" s="151"/>
      <c r="CR350" s="151"/>
      <c r="CS350" s="151"/>
      <c r="CT350" s="151"/>
      <c r="CU350" s="151"/>
      <c r="CV350" s="151"/>
      <c r="CW350" s="151"/>
      <c r="CX350" s="151"/>
      <c r="CY350" s="151"/>
      <c r="CZ350" s="151"/>
      <c r="DA350" s="151"/>
      <c r="DB350" s="151"/>
      <c r="DC350" s="151"/>
      <c r="DD350" s="151"/>
      <c r="DE350" s="151"/>
      <c r="DF350" s="151"/>
      <c r="DG350" s="151"/>
      <c r="DH350" s="151"/>
      <c r="DI350" s="151"/>
      <c r="DJ350" s="151"/>
      <c r="DK350" s="151"/>
      <c r="DL350" s="151"/>
      <c r="DM350" s="151"/>
      <c r="DN350" s="151"/>
      <c r="DO350" s="151"/>
      <c r="DP350" s="151"/>
      <c r="DQ350" s="151"/>
      <c r="DR350" s="151"/>
      <c r="DS350" s="151"/>
      <c r="DT350" s="151"/>
      <c r="DU350" s="151"/>
      <c r="DV350" s="151"/>
      <c r="DW350" s="151"/>
      <c r="DX350" s="151"/>
      <c r="DY350" s="151"/>
      <c r="DZ350" s="151"/>
      <c r="EA350" s="151"/>
      <c r="EB350" s="151"/>
      <c r="EC350" s="151"/>
      <c r="ED350" s="151"/>
      <c r="EE350" s="151"/>
      <c r="EF350" s="151"/>
      <c r="EG350" s="151"/>
      <c r="EH350" s="151"/>
      <c r="EI350" s="151"/>
      <c r="EJ350" s="151"/>
      <c r="EK350" s="151"/>
      <c r="EL350" s="151"/>
      <c r="EM350" s="151"/>
      <c r="EN350" s="151"/>
    </row>
    <row r="351" spans="1:144" s="572" customFormat="1" ht="39" customHeight="1">
      <c r="A351" s="570" t="e">
        <f>F351/F464*100</f>
        <v>#DIV/0!</v>
      </c>
      <c r="B351" s="488"/>
      <c r="C351" s="563" t="s">
        <v>163</v>
      </c>
      <c r="D351" s="488"/>
      <c r="E351" s="571">
        <f>E350+E336+E327</f>
        <v>91043450.25</v>
      </c>
      <c r="F351" s="571">
        <f>F350+F336+F327</f>
        <v>91024734.609999999</v>
      </c>
      <c r="G351" s="499">
        <f>F351/E351*100</f>
        <v>99.979443178011579</v>
      </c>
      <c r="H351" s="496">
        <v>0.99</v>
      </c>
      <c r="I351" s="850" t="s">
        <v>809</v>
      </c>
      <c r="J351" s="851"/>
      <c r="K351" s="851"/>
      <c r="L351" s="851"/>
      <c r="M351" s="499">
        <f>(M350+M336+M327)/3</f>
        <v>100.32252572525429</v>
      </c>
      <c r="N351" s="494">
        <f>M351/100</f>
        <v>1.0032252572525429</v>
      </c>
      <c r="O351" s="491"/>
      <c r="P351" s="388"/>
      <c r="Q351" s="388"/>
      <c r="R351" s="388"/>
      <c r="S351" s="388"/>
      <c r="T351" s="388"/>
      <c r="U351" s="388"/>
      <c r="V351" s="388"/>
      <c r="W351" s="388"/>
      <c r="X351" s="388"/>
      <c r="Y351" s="388"/>
      <c r="Z351" s="388"/>
      <c r="AA351" s="38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  <c r="AO351" s="238"/>
      <c r="AP351" s="238"/>
      <c r="AQ351" s="238"/>
      <c r="AR351" s="238"/>
      <c r="AS351" s="238"/>
      <c r="AT351" s="238"/>
      <c r="AU351" s="238"/>
      <c r="AV351" s="238"/>
      <c r="AW351" s="238"/>
      <c r="AX351" s="238"/>
      <c r="AY351" s="238"/>
      <c r="AZ351" s="238"/>
      <c r="BA351" s="238"/>
      <c r="BB351" s="238"/>
      <c r="BC351" s="238"/>
      <c r="BD351" s="238"/>
      <c r="BE351" s="238"/>
      <c r="BF351" s="238"/>
      <c r="BG351" s="238"/>
      <c r="BH351" s="238"/>
      <c r="BI351" s="238"/>
      <c r="BJ351" s="238"/>
      <c r="BK351" s="238"/>
      <c r="BL351" s="238"/>
      <c r="BM351" s="238"/>
      <c r="BN351" s="238"/>
      <c r="BO351" s="238"/>
      <c r="BP351" s="238"/>
      <c r="BQ351" s="238"/>
      <c r="BR351" s="238"/>
      <c r="BS351" s="238"/>
      <c r="BT351" s="238"/>
      <c r="BU351" s="238"/>
      <c r="BV351" s="238"/>
      <c r="BW351" s="238"/>
      <c r="BX351" s="238"/>
      <c r="BY351" s="238"/>
      <c r="BZ351" s="238"/>
      <c r="CA351" s="238"/>
      <c r="CB351" s="238"/>
      <c r="CC351" s="238"/>
      <c r="CD351" s="238"/>
      <c r="CE351" s="238"/>
      <c r="CF351" s="238"/>
      <c r="CG351" s="238"/>
      <c r="CH351" s="238"/>
      <c r="CI351" s="238"/>
      <c r="CJ351" s="238"/>
      <c r="CK351" s="238"/>
      <c r="CL351" s="238"/>
      <c r="CM351" s="238"/>
      <c r="CN351" s="238"/>
      <c r="CO351" s="238"/>
      <c r="CP351" s="238"/>
      <c r="CQ351" s="238"/>
      <c r="CR351" s="238"/>
      <c r="CS351" s="238"/>
      <c r="CT351" s="238"/>
      <c r="CU351" s="238"/>
      <c r="CV351" s="238"/>
      <c r="CW351" s="238"/>
      <c r="CX351" s="238"/>
      <c r="CY351" s="238"/>
      <c r="CZ351" s="238"/>
      <c r="DA351" s="238"/>
      <c r="DB351" s="238"/>
      <c r="DC351" s="238"/>
      <c r="DD351" s="238"/>
      <c r="DE351" s="238"/>
      <c r="DF351" s="238"/>
      <c r="DG351" s="238"/>
      <c r="DH351" s="238"/>
      <c r="DI351" s="238"/>
      <c r="DJ351" s="238"/>
      <c r="DK351" s="238"/>
      <c r="DL351" s="238"/>
      <c r="DM351" s="238"/>
      <c r="DN351" s="238"/>
      <c r="DO351" s="238"/>
      <c r="DP351" s="238"/>
      <c r="DQ351" s="238"/>
      <c r="DR351" s="238"/>
      <c r="DS351" s="238"/>
      <c r="DT351" s="238"/>
      <c r="DU351" s="238"/>
      <c r="DV351" s="238"/>
      <c r="DW351" s="238"/>
      <c r="DX351" s="238"/>
      <c r="DY351" s="238"/>
      <c r="DZ351" s="238"/>
      <c r="EA351" s="238"/>
      <c r="EB351" s="238"/>
      <c r="EC351" s="238"/>
      <c r="ED351" s="238"/>
      <c r="EE351" s="238"/>
      <c r="EF351" s="238"/>
      <c r="EG351" s="238"/>
      <c r="EH351" s="238"/>
      <c r="EI351" s="238"/>
      <c r="EJ351" s="238"/>
      <c r="EK351" s="238"/>
      <c r="EL351" s="238"/>
      <c r="EM351" s="238"/>
      <c r="EN351" s="238"/>
    </row>
    <row r="352" spans="1:144" s="65" customFormat="1" ht="39" customHeight="1">
      <c r="A352" s="155"/>
      <c r="B352" s="133"/>
      <c r="C352" s="162" t="s">
        <v>516</v>
      </c>
      <c r="D352" s="500" t="s">
        <v>520</v>
      </c>
      <c r="E352" s="522">
        <v>0</v>
      </c>
      <c r="F352" s="522">
        <v>0</v>
      </c>
      <c r="G352" s="506"/>
      <c r="H352" s="512"/>
      <c r="I352" s="433"/>
      <c r="J352" s="433"/>
      <c r="K352" s="433"/>
      <c r="L352" s="433"/>
      <c r="M352" s="538"/>
      <c r="N352" s="538"/>
      <c r="O352" s="28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  <c r="AN352" s="72"/>
      <c r="AO352" s="72"/>
      <c r="AP352" s="72"/>
      <c r="AQ352" s="72"/>
      <c r="AR352" s="72"/>
      <c r="AS352" s="72"/>
      <c r="AT352" s="72"/>
      <c r="AU352" s="72"/>
      <c r="AV352" s="72"/>
      <c r="AW352" s="72"/>
      <c r="AX352" s="72"/>
      <c r="AY352" s="72"/>
      <c r="AZ352" s="72"/>
      <c r="BA352" s="72"/>
      <c r="BB352" s="72"/>
      <c r="BC352" s="72"/>
      <c r="BD352" s="72"/>
      <c r="BE352" s="72"/>
      <c r="BF352" s="72"/>
      <c r="BG352" s="72"/>
      <c r="BH352" s="72"/>
      <c r="BI352" s="72"/>
      <c r="BJ352" s="72"/>
      <c r="BK352" s="72"/>
      <c r="BL352" s="72"/>
      <c r="BM352" s="72"/>
      <c r="BN352" s="72"/>
      <c r="BO352" s="72"/>
      <c r="BP352" s="72"/>
      <c r="BQ352" s="72"/>
      <c r="BR352" s="72"/>
      <c r="BS352" s="72"/>
      <c r="BT352" s="72"/>
      <c r="BU352" s="72"/>
      <c r="BV352" s="72"/>
      <c r="BW352" s="72"/>
      <c r="BX352" s="72"/>
      <c r="BY352" s="72"/>
      <c r="BZ352" s="72"/>
      <c r="CA352" s="72"/>
      <c r="CB352" s="72"/>
      <c r="CC352" s="72"/>
      <c r="CD352" s="72"/>
      <c r="CE352" s="72"/>
      <c r="CF352" s="72"/>
      <c r="CG352" s="72"/>
      <c r="CH352" s="72"/>
      <c r="CI352" s="72"/>
      <c r="CJ352" s="72"/>
      <c r="CK352" s="72"/>
      <c r="CL352" s="72"/>
      <c r="CM352" s="72"/>
      <c r="CN352" s="72"/>
      <c r="CO352" s="72"/>
      <c r="CP352" s="72"/>
      <c r="CQ352" s="72"/>
      <c r="CR352" s="72"/>
      <c r="CS352" s="72"/>
      <c r="CT352" s="72"/>
      <c r="CU352" s="72"/>
      <c r="CV352" s="72"/>
      <c r="CW352" s="72"/>
      <c r="CX352" s="72"/>
      <c r="CY352" s="72"/>
      <c r="CZ352" s="72"/>
      <c r="DA352" s="72"/>
      <c r="DB352" s="72"/>
      <c r="DC352" s="72"/>
      <c r="DD352" s="72"/>
      <c r="DE352" s="72"/>
      <c r="DF352" s="72"/>
      <c r="DG352" s="72"/>
      <c r="DH352" s="72"/>
      <c r="DI352" s="72"/>
      <c r="DJ352" s="72"/>
      <c r="DK352" s="72"/>
      <c r="DL352" s="72"/>
      <c r="DM352" s="72"/>
      <c r="DN352" s="72"/>
      <c r="DO352" s="72"/>
      <c r="DP352" s="72"/>
      <c r="DQ352" s="72"/>
      <c r="DR352" s="72"/>
      <c r="DS352" s="72"/>
      <c r="DT352" s="72"/>
      <c r="DU352" s="72"/>
      <c r="DV352" s="72"/>
      <c r="DW352" s="72"/>
      <c r="DX352" s="72"/>
      <c r="DY352" s="72"/>
      <c r="DZ352" s="72"/>
      <c r="EA352" s="72"/>
      <c r="EB352" s="72"/>
      <c r="EC352" s="72"/>
      <c r="ED352" s="72"/>
      <c r="EE352" s="72"/>
      <c r="EF352" s="72"/>
      <c r="EG352" s="72"/>
      <c r="EH352" s="72"/>
      <c r="EI352" s="72"/>
      <c r="EJ352" s="72"/>
      <c r="EK352" s="72"/>
      <c r="EL352" s="72"/>
      <c r="EM352" s="72"/>
      <c r="EN352" s="72"/>
    </row>
    <row r="353" spans="1:144" s="65" customFormat="1" ht="39" customHeight="1">
      <c r="A353" s="155"/>
      <c r="B353" s="133"/>
      <c r="C353" s="162" t="s">
        <v>517</v>
      </c>
      <c r="D353" s="500" t="s">
        <v>329</v>
      </c>
      <c r="E353" s="522">
        <f>341.9*1000</f>
        <v>341900</v>
      </c>
      <c r="F353" s="522">
        <f>341.9*1000</f>
        <v>341900</v>
      </c>
      <c r="G353" s="506"/>
      <c r="H353" s="512"/>
      <c r="I353" s="433"/>
      <c r="J353" s="433"/>
      <c r="K353" s="433"/>
      <c r="L353" s="433"/>
      <c r="M353" s="538"/>
      <c r="N353" s="538"/>
      <c r="O353" s="28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  <c r="AN353" s="72"/>
      <c r="AO353" s="72"/>
      <c r="AP353" s="72"/>
      <c r="AQ353" s="72"/>
      <c r="AR353" s="72"/>
      <c r="AS353" s="72"/>
      <c r="AT353" s="72"/>
      <c r="AU353" s="72"/>
      <c r="AV353" s="72"/>
      <c r="AW353" s="72"/>
      <c r="AX353" s="72"/>
      <c r="AY353" s="72"/>
      <c r="AZ353" s="72"/>
      <c r="BA353" s="72"/>
      <c r="BB353" s="72"/>
      <c r="BC353" s="72"/>
      <c r="BD353" s="72"/>
      <c r="BE353" s="72"/>
      <c r="BF353" s="72"/>
      <c r="BG353" s="72"/>
      <c r="BH353" s="72"/>
      <c r="BI353" s="72"/>
      <c r="BJ353" s="72"/>
      <c r="BK353" s="72"/>
      <c r="BL353" s="72"/>
      <c r="BM353" s="72"/>
      <c r="BN353" s="72"/>
      <c r="BO353" s="72"/>
      <c r="BP353" s="72"/>
      <c r="BQ353" s="72"/>
      <c r="BR353" s="72"/>
      <c r="BS353" s="72"/>
      <c r="BT353" s="72"/>
      <c r="BU353" s="72"/>
      <c r="BV353" s="72"/>
      <c r="BW353" s="72"/>
      <c r="BX353" s="72"/>
      <c r="BY353" s="72"/>
      <c r="BZ353" s="72"/>
      <c r="CA353" s="72"/>
      <c r="CB353" s="72"/>
      <c r="CC353" s="72"/>
      <c r="CD353" s="72"/>
      <c r="CE353" s="72"/>
      <c r="CF353" s="72"/>
      <c r="CG353" s="72"/>
      <c r="CH353" s="72"/>
      <c r="CI353" s="72"/>
      <c r="CJ353" s="72"/>
      <c r="CK353" s="72"/>
      <c r="CL353" s="72"/>
      <c r="CM353" s="72"/>
      <c r="CN353" s="72"/>
      <c r="CO353" s="72"/>
      <c r="CP353" s="72"/>
      <c r="CQ353" s="72"/>
      <c r="CR353" s="72"/>
      <c r="CS353" s="72"/>
      <c r="CT353" s="72"/>
      <c r="CU353" s="72"/>
      <c r="CV353" s="72"/>
      <c r="CW353" s="72"/>
      <c r="CX353" s="72"/>
      <c r="CY353" s="72"/>
      <c r="CZ353" s="72"/>
      <c r="DA353" s="72"/>
      <c r="DB353" s="72"/>
      <c r="DC353" s="72"/>
      <c r="DD353" s="72"/>
      <c r="DE353" s="72"/>
      <c r="DF353" s="72"/>
      <c r="DG353" s="72"/>
      <c r="DH353" s="72"/>
      <c r="DI353" s="72"/>
      <c r="DJ353" s="72"/>
      <c r="DK353" s="72"/>
      <c r="DL353" s="72"/>
      <c r="DM353" s="72"/>
      <c r="DN353" s="72"/>
      <c r="DO353" s="72"/>
      <c r="DP353" s="72"/>
      <c r="DQ353" s="72"/>
      <c r="DR353" s="72"/>
      <c r="DS353" s="72"/>
      <c r="DT353" s="72"/>
      <c r="DU353" s="72"/>
      <c r="DV353" s="72"/>
      <c r="DW353" s="72"/>
      <c r="DX353" s="72"/>
      <c r="DY353" s="72"/>
      <c r="DZ353" s="72"/>
      <c r="EA353" s="72"/>
      <c r="EB353" s="72"/>
      <c r="EC353" s="72"/>
      <c r="ED353" s="72"/>
      <c r="EE353" s="72"/>
      <c r="EF353" s="72"/>
      <c r="EG353" s="72"/>
      <c r="EH353" s="72"/>
      <c r="EI353" s="72"/>
      <c r="EJ353" s="72"/>
      <c r="EK353" s="72"/>
      <c r="EL353" s="72"/>
      <c r="EM353" s="72"/>
      <c r="EN353" s="72"/>
    </row>
    <row r="354" spans="1:144" s="65" customFormat="1" ht="39" customHeight="1">
      <c r="A354" s="155"/>
      <c r="B354" s="133"/>
      <c r="C354" s="162" t="s">
        <v>518</v>
      </c>
      <c r="D354" s="500" t="s">
        <v>521</v>
      </c>
      <c r="E354" s="522">
        <f>90701.6*1000</f>
        <v>90701600</v>
      </c>
      <c r="F354" s="522">
        <f>90682.8*1000</f>
        <v>90682800</v>
      </c>
      <c r="G354" s="506"/>
      <c r="H354" s="512"/>
      <c r="I354" s="433"/>
      <c r="J354" s="433"/>
      <c r="K354" s="433"/>
      <c r="L354" s="433"/>
      <c r="M354" s="538"/>
      <c r="N354" s="538"/>
      <c r="O354" s="28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  <c r="AN354" s="72"/>
      <c r="AO354" s="72"/>
      <c r="AP354" s="72"/>
      <c r="AQ354" s="72"/>
      <c r="AR354" s="72"/>
      <c r="AS354" s="72"/>
      <c r="AT354" s="72"/>
      <c r="AU354" s="72"/>
      <c r="AV354" s="72"/>
      <c r="AW354" s="72"/>
      <c r="AX354" s="72"/>
      <c r="AY354" s="72"/>
      <c r="AZ354" s="72"/>
      <c r="BA354" s="72"/>
      <c r="BB354" s="72"/>
      <c r="BC354" s="72"/>
      <c r="BD354" s="72"/>
      <c r="BE354" s="72"/>
      <c r="BF354" s="72"/>
      <c r="BG354" s="72"/>
      <c r="BH354" s="72"/>
      <c r="BI354" s="72"/>
      <c r="BJ354" s="72"/>
      <c r="BK354" s="72"/>
      <c r="BL354" s="72"/>
      <c r="BM354" s="72"/>
      <c r="BN354" s="72"/>
      <c r="BO354" s="72"/>
      <c r="BP354" s="72"/>
      <c r="BQ354" s="72"/>
      <c r="BR354" s="72"/>
      <c r="BS354" s="72"/>
      <c r="BT354" s="72"/>
      <c r="BU354" s="72"/>
      <c r="BV354" s="72"/>
      <c r="BW354" s="72"/>
      <c r="BX354" s="72"/>
      <c r="BY354" s="72"/>
      <c r="BZ354" s="72"/>
      <c r="CA354" s="72"/>
      <c r="CB354" s="72"/>
      <c r="CC354" s="72"/>
      <c r="CD354" s="72"/>
      <c r="CE354" s="72"/>
      <c r="CF354" s="72"/>
      <c r="CG354" s="72"/>
      <c r="CH354" s="72"/>
      <c r="CI354" s="72"/>
      <c r="CJ354" s="72"/>
      <c r="CK354" s="72"/>
      <c r="CL354" s="72"/>
      <c r="CM354" s="72"/>
      <c r="CN354" s="72"/>
      <c r="CO354" s="72"/>
      <c r="CP354" s="72"/>
      <c r="CQ354" s="72"/>
      <c r="CR354" s="72"/>
      <c r="CS354" s="72"/>
      <c r="CT354" s="72"/>
      <c r="CU354" s="72"/>
      <c r="CV354" s="72"/>
      <c r="CW354" s="72"/>
      <c r="CX354" s="72"/>
      <c r="CY354" s="72"/>
      <c r="CZ354" s="72"/>
      <c r="DA354" s="72"/>
      <c r="DB354" s="72"/>
      <c r="DC354" s="72"/>
      <c r="DD354" s="72"/>
      <c r="DE354" s="72"/>
      <c r="DF354" s="72"/>
      <c r="DG354" s="72"/>
      <c r="DH354" s="72"/>
      <c r="DI354" s="72"/>
      <c r="DJ354" s="72"/>
      <c r="DK354" s="72"/>
      <c r="DL354" s="72"/>
      <c r="DM354" s="72"/>
      <c r="DN354" s="72"/>
      <c r="DO354" s="72"/>
      <c r="DP354" s="72"/>
      <c r="DQ354" s="72"/>
      <c r="DR354" s="72"/>
      <c r="DS354" s="72"/>
      <c r="DT354" s="72"/>
      <c r="DU354" s="72"/>
      <c r="DV354" s="72"/>
      <c r="DW354" s="72"/>
      <c r="DX354" s="72"/>
      <c r="DY354" s="72"/>
      <c r="DZ354" s="72"/>
      <c r="EA354" s="72"/>
      <c r="EB354" s="72"/>
      <c r="EC354" s="72"/>
      <c r="ED354" s="72"/>
      <c r="EE354" s="72"/>
      <c r="EF354" s="72"/>
      <c r="EG354" s="72"/>
      <c r="EH354" s="72"/>
      <c r="EI354" s="72"/>
      <c r="EJ354" s="72"/>
      <c r="EK354" s="72"/>
      <c r="EL354" s="72"/>
      <c r="EM354" s="72"/>
      <c r="EN354" s="72"/>
    </row>
    <row r="355" spans="1:144" s="65" customFormat="1" ht="39" customHeight="1">
      <c r="A355" s="155"/>
      <c r="B355" s="133"/>
      <c r="C355" s="162" t="s">
        <v>519</v>
      </c>
      <c r="D355" s="500" t="s">
        <v>522</v>
      </c>
      <c r="E355" s="522">
        <v>0</v>
      </c>
      <c r="F355" s="522">
        <v>0</v>
      </c>
      <c r="G355" s="506"/>
      <c r="H355" s="512"/>
      <c r="I355" s="433"/>
      <c r="J355" s="433"/>
      <c r="K355" s="433"/>
      <c r="L355" s="433"/>
      <c r="M355" s="538"/>
      <c r="N355" s="538"/>
      <c r="O355" s="28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  <c r="AN355" s="72"/>
      <c r="AO355" s="72"/>
      <c r="AP355" s="72"/>
      <c r="AQ355" s="72"/>
      <c r="AR355" s="72"/>
      <c r="AS355" s="72"/>
      <c r="AT355" s="72"/>
      <c r="AU355" s="72"/>
      <c r="AV355" s="72"/>
      <c r="AW355" s="72"/>
      <c r="AX355" s="72"/>
      <c r="AY355" s="72"/>
      <c r="AZ355" s="72"/>
      <c r="BA355" s="72"/>
      <c r="BB355" s="72"/>
      <c r="BC355" s="72"/>
      <c r="BD355" s="72"/>
      <c r="BE355" s="72"/>
      <c r="BF355" s="72"/>
      <c r="BG355" s="72"/>
      <c r="BH355" s="72"/>
      <c r="BI355" s="72"/>
      <c r="BJ355" s="72"/>
      <c r="BK355" s="72"/>
      <c r="BL355" s="72"/>
      <c r="BM355" s="72"/>
      <c r="BN355" s="72"/>
      <c r="BO355" s="72"/>
      <c r="BP355" s="72"/>
      <c r="BQ355" s="72"/>
      <c r="BR355" s="72"/>
      <c r="BS355" s="72"/>
      <c r="BT355" s="72"/>
      <c r="BU355" s="72"/>
      <c r="BV355" s="72"/>
      <c r="BW355" s="72"/>
      <c r="BX355" s="72"/>
      <c r="BY355" s="72"/>
      <c r="BZ355" s="72"/>
      <c r="CA355" s="72"/>
      <c r="CB355" s="72"/>
      <c r="CC355" s="72"/>
      <c r="CD355" s="72"/>
      <c r="CE355" s="72"/>
      <c r="CF355" s="72"/>
      <c r="CG355" s="72"/>
      <c r="CH355" s="72"/>
      <c r="CI355" s="72"/>
      <c r="CJ355" s="72"/>
      <c r="CK355" s="72"/>
      <c r="CL355" s="72"/>
      <c r="CM355" s="72"/>
      <c r="CN355" s="72"/>
      <c r="CO355" s="72"/>
      <c r="CP355" s="72"/>
      <c r="CQ355" s="72"/>
      <c r="CR355" s="72"/>
      <c r="CS355" s="72"/>
      <c r="CT355" s="72"/>
      <c r="CU355" s="72"/>
      <c r="CV355" s="72"/>
      <c r="CW355" s="72"/>
      <c r="CX355" s="72"/>
      <c r="CY355" s="72"/>
      <c r="CZ355" s="72"/>
      <c r="DA355" s="72"/>
      <c r="DB355" s="72"/>
      <c r="DC355" s="72"/>
      <c r="DD355" s="72"/>
      <c r="DE355" s="72"/>
      <c r="DF355" s="72"/>
      <c r="DG355" s="72"/>
      <c r="DH355" s="72"/>
      <c r="DI355" s="72"/>
      <c r="DJ355" s="72"/>
      <c r="DK355" s="72"/>
      <c r="DL355" s="72"/>
      <c r="DM355" s="72"/>
      <c r="DN355" s="72"/>
      <c r="DO355" s="72"/>
      <c r="DP355" s="72"/>
      <c r="DQ355" s="72"/>
      <c r="DR355" s="72"/>
      <c r="DS355" s="72"/>
      <c r="DT355" s="72"/>
      <c r="DU355" s="72"/>
      <c r="DV355" s="72"/>
      <c r="DW355" s="72"/>
      <c r="DX355" s="72"/>
      <c r="DY355" s="72"/>
      <c r="DZ355" s="72"/>
      <c r="EA355" s="72"/>
      <c r="EB355" s="72"/>
      <c r="EC355" s="72"/>
      <c r="ED355" s="72"/>
      <c r="EE355" s="72"/>
      <c r="EF355" s="72"/>
      <c r="EG355" s="72"/>
      <c r="EH355" s="72"/>
      <c r="EI355" s="72"/>
      <c r="EJ355" s="72"/>
      <c r="EK355" s="72"/>
      <c r="EL355" s="72"/>
      <c r="EM355" s="72"/>
      <c r="EN355" s="72"/>
    </row>
    <row r="356" spans="1:144" s="95" customFormat="1" ht="56.25" customHeight="1">
      <c r="B356" s="135"/>
      <c r="C356" s="820" t="s">
        <v>707</v>
      </c>
      <c r="D356" s="848"/>
      <c r="E356" s="848"/>
      <c r="F356" s="848"/>
      <c r="G356" s="848"/>
      <c r="H356" s="848"/>
      <c r="I356" s="848"/>
      <c r="J356" s="848"/>
      <c r="K356" s="848"/>
      <c r="L356" s="848"/>
      <c r="M356" s="848"/>
      <c r="N356" s="849"/>
      <c r="O356" s="28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  <c r="AN356" s="72"/>
      <c r="AO356" s="72"/>
      <c r="AP356" s="72"/>
      <c r="AQ356" s="72"/>
      <c r="AR356" s="72"/>
      <c r="AS356" s="72"/>
      <c r="AT356" s="72"/>
      <c r="AU356" s="72"/>
      <c r="AV356" s="72"/>
      <c r="AW356" s="72"/>
      <c r="AX356" s="72"/>
      <c r="AY356" s="72"/>
      <c r="AZ356" s="72"/>
      <c r="BA356" s="72"/>
      <c r="BB356" s="72"/>
      <c r="BC356" s="72"/>
      <c r="BD356" s="72"/>
      <c r="BE356" s="72"/>
      <c r="BF356" s="72"/>
      <c r="BG356" s="72"/>
      <c r="BH356" s="72"/>
      <c r="BI356" s="72"/>
      <c r="BJ356" s="72"/>
      <c r="BK356" s="72"/>
      <c r="BL356" s="72"/>
      <c r="BM356" s="72"/>
      <c r="BN356" s="72"/>
      <c r="BO356" s="72"/>
      <c r="BP356" s="72"/>
      <c r="BQ356" s="72"/>
      <c r="BR356" s="72"/>
      <c r="BS356" s="72"/>
      <c r="BT356" s="72"/>
      <c r="BU356" s="72"/>
      <c r="BV356" s="72"/>
      <c r="BW356" s="72"/>
      <c r="BX356" s="72"/>
      <c r="BY356" s="72"/>
      <c r="BZ356" s="72"/>
      <c r="CA356" s="72"/>
      <c r="CB356" s="72"/>
      <c r="CC356" s="72"/>
      <c r="CD356" s="72"/>
      <c r="CE356" s="72"/>
      <c r="CF356" s="72"/>
      <c r="CG356" s="72"/>
      <c r="CH356" s="72"/>
      <c r="CI356" s="72"/>
      <c r="CJ356" s="72"/>
      <c r="CK356" s="72"/>
      <c r="CL356" s="72"/>
      <c r="CM356" s="72"/>
      <c r="CN356" s="72"/>
      <c r="CO356" s="72"/>
      <c r="CP356" s="72"/>
      <c r="CQ356" s="72"/>
      <c r="CR356" s="72"/>
      <c r="CS356" s="72"/>
      <c r="CT356" s="72"/>
      <c r="CU356" s="72"/>
      <c r="CV356" s="72"/>
      <c r="CW356" s="72"/>
      <c r="CX356" s="72"/>
      <c r="CY356" s="72"/>
      <c r="CZ356" s="72"/>
      <c r="DA356" s="72"/>
      <c r="DB356" s="72"/>
      <c r="DC356" s="72"/>
      <c r="DD356" s="72"/>
      <c r="DE356" s="72"/>
      <c r="DF356" s="72"/>
      <c r="DG356" s="72"/>
      <c r="DH356" s="72"/>
      <c r="DI356" s="72"/>
      <c r="DJ356" s="72"/>
      <c r="DK356" s="72"/>
      <c r="DL356" s="72"/>
      <c r="DM356" s="72"/>
      <c r="DN356" s="72"/>
      <c r="DO356" s="72"/>
      <c r="DP356" s="72"/>
      <c r="DQ356" s="72"/>
      <c r="DR356" s="72"/>
      <c r="DS356" s="72"/>
      <c r="DT356" s="72"/>
      <c r="DU356" s="72"/>
      <c r="DV356" s="72"/>
      <c r="DW356" s="72"/>
      <c r="DX356" s="72"/>
      <c r="DY356" s="72"/>
      <c r="DZ356" s="72"/>
      <c r="EA356" s="72"/>
      <c r="EB356" s="72"/>
      <c r="EC356" s="72"/>
      <c r="ED356" s="72"/>
      <c r="EE356" s="72"/>
      <c r="EF356" s="72"/>
      <c r="EG356" s="72"/>
      <c r="EH356" s="72"/>
      <c r="EI356" s="72"/>
      <c r="EJ356" s="72"/>
      <c r="EK356" s="72"/>
      <c r="EL356" s="72"/>
      <c r="EM356" s="72"/>
      <c r="EN356" s="72"/>
    </row>
    <row r="357" spans="1:144" ht="38.25" customHeight="1">
      <c r="A357" s="7"/>
      <c r="B357" s="109" t="s">
        <v>444</v>
      </c>
      <c r="C357" s="841" t="s">
        <v>445</v>
      </c>
      <c r="D357" s="842"/>
      <c r="E357" s="842"/>
      <c r="F357" s="842"/>
      <c r="G357" s="842"/>
      <c r="H357" s="842"/>
      <c r="I357" s="842"/>
      <c r="J357" s="842"/>
      <c r="K357" s="842"/>
      <c r="L357" s="842"/>
      <c r="M357" s="328"/>
      <c r="N357" s="473"/>
      <c r="O357" s="45"/>
      <c r="AB357" s="123"/>
      <c r="AC357" s="123"/>
      <c r="AD357" s="123"/>
      <c r="AE357" s="123"/>
      <c r="AF357" s="123"/>
      <c r="AG357" s="123"/>
      <c r="AH357" s="123"/>
      <c r="AI357" s="123"/>
      <c r="AJ357" s="123"/>
      <c r="AK357" s="123"/>
      <c r="AL357" s="123"/>
      <c r="AM357" s="12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</row>
    <row r="358" spans="1:144" ht="39" customHeight="1">
      <c r="A358" s="7"/>
      <c r="B358" s="331"/>
      <c r="C358" s="785" t="s">
        <v>431</v>
      </c>
      <c r="D358" s="786"/>
      <c r="E358" s="786"/>
      <c r="F358" s="786"/>
      <c r="G358" s="786"/>
      <c r="H358" s="786"/>
      <c r="I358" s="786"/>
      <c r="J358" s="786"/>
      <c r="K358" s="786"/>
      <c r="L358" s="786"/>
      <c r="M358" s="787"/>
      <c r="N358" s="461"/>
      <c r="O358" s="45"/>
      <c r="AB358" s="123"/>
      <c r="AC358" s="123"/>
      <c r="AD358" s="123"/>
      <c r="AE358" s="123"/>
      <c r="AF358" s="123"/>
      <c r="AG358" s="123"/>
      <c r="AH358" s="123"/>
      <c r="AI358" s="123"/>
      <c r="AJ358" s="123"/>
      <c r="AK358" s="123"/>
      <c r="AL358" s="123"/>
      <c r="AM358" s="12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</row>
    <row r="359" spans="1:144" ht="19.5" customHeight="1">
      <c r="A359" s="7"/>
      <c r="B359" s="331"/>
      <c r="C359" s="785" t="s">
        <v>432</v>
      </c>
      <c r="D359" s="786"/>
      <c r="E359" s="786"/>
      <c r="F359" s="786"/>
      <c r="G359" s="786"/>
      <c r="H359" s="786"/>
      <c r="I359" s="786"/>
      <c r="J359" s="786"/>
      <c r="K359" s="786"/>
      <c r="L359" s="786"/>
      <c r="M359" s="787"/>
      <c r="N359" s="461"/>
      <c r="O359" s="45"/>
      <c r="AB359" s="123"/>
      <c r="AC359" s="123"/>
      <c r="AD359" s="123"/>
      <c r="AE359" s="123"/>
      <c r="AF359" s="123"/>
      <c r="AG359" s="123"/>
      <c r="AH359" s="123"/>
      <c r="AI359" s="123"/>
      <c r="AJ359" s="123"/>
      <c r="AK359" s="123"/>
      <c r="AL359" s="123"/>
      <c r="AM359" s="12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</row>
    <row r="360" spans="1:144" ht="25.5" customHeight="1">
      <c r="A360" s="7"/>
      <c r="B360" s="331"/>
      <c r="C360" s="785" t="s">
        <v>433</v>
      </c>
      <c r="D360" s="786"/>
      <c r="E360" s="786"/>
      <c r="F360" s="786"/>
      <c r="G360" s="786"/>
      <c r="H360" s="786"/>
      <c r="I360" s="786"/>
      <c r="J360" s="786"/>
      <c r="K360" s="786"/>
      <c r="L360" s="786"/>
      <c r="M360" s="787"/>
      <c r="N360" s="461"/>
      <c r="O360" s="45"/>
      <c r="AB360" s="123"/>
      <c r="AC360" s="123"/>
      <c r="AD360" s="123"/>
      <c r="AE360" s="123"/>
      <c r="AF360" s="123"/>
      <c r="AG360" s="123"/>
      <c r="AH360" s="123"/>
      <c r="AI360" s="123"/>
      <c r="AJ360" s="123"/>
      <c r="AK360" s="123"/>
      <c r="AL360" s="123"/>
      <c r="AM360" s="12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</row>
    <row r="361" spans="1:144" s="804" customFormat="1" ht="36.75" customHeight="1">
      <c r="A361" s="804" t="s">
        <v>434</v>
      </c>
    </row>
    <row r="362" spans="1:144" s="14" customFormat="1" ht="29.25" customHeight="1">
      <c r="A362" s="9"/>
      <c r="B362" s="327" t="s">
        <v>446</v>
      </c>
      <c r="C362" s="887" t="s">
        <v>435</v>
      </c>
      <c r="D362" s="879"/>
      <c r="E362" s="879"/>
      <c r="F362" s="879"/>
      <c r="G362" s="879"/>
      <c r="H362" s="879"/>
      <c r="I362" s="879"/>
      <c r="J362" s="879"/>
      <c r="K362" s="879"/>
      <c r="L362" s="879"/>
      <c r="M362" s="879"/>
      <c r="N362" s="880"/>
      <c r="O362" s="19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  <c r="AB362" s="355"/>
      <c r="AC362" s="355"/>
      <c r="AD362" s="355"/>
      <c r="AE362" s="355"/>
      <c r="AF362" s="355"/>
      <c r="AG362" s="355"/>
      <c r="AH362" s="355"/>
      <c r="AI362" s="355"/>
      <c r="AJ362" s="355"/>
      <c r="AK362" s="355"/>
      <c r="AL362" s="355"/>
      <c r="AM362" s="355"/>
    </row>
    <row r="363" spans="1:144" s="14" customFormat="1" ht="48" customHeight="1">
      <c r="A363" s="9" t="e">
        <f>#REF!-#REF!</f>
        <v>#REF!</v>
      </c>
      <c r="B363" s="89"/>
      <c r="C363" s="782" t="s">
        <v>436</v>
      </c>
      <c r="D363" s="908"/>
      <c r="E363" s="908"/>
      <c r="F363" s="908"/>
      <c r="G363" s="908"/>
      <c r="H363" s="908"/>
      <c r="I363" s="908"/>
      <c r="J363" s="908"/>
      <c r="K363" s="908"/>
      <c r="L363" s="908"/>
      <c r="M363" s="908"/>
      <c r="N363" s="909"/>
      <c r="O363" s="19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  <c r="AB363" s="355"/>
      <c r="AC363" s="355"/>
      <c r="AD363" s="355"/>
      <c r="AE363" s="355"/>
      <c r="AF363" s="355"/>
      <c r="AG363" s="355"/>
      <c r="AH363" s="355"/>
      <c r="AI363" s="355"/>
      <c r="AJ363" s="355"/>
      <c r="AK363" s="355"/>
      <c r="AL363" s="355"/>
      <c r="AM363" s="355"/>
    </row>
    <row r="364" spans="1:144" s="19" customFormat="1" ht="24.75" customHeight="1">
      <c r="A364" s="93"/>
      <c r="B364" s="35"/>
      <c r="C364" s="808" t="s">
        <v>437</v>
      </c>
      <c r="D364" s="809"/>
      <c r="E364" s="809"/>
      <c r="F364" s="809"/>
      <c r="G364" s="809"/>
      <c r="H364" s="809"/>
      <c r="I364" s="809"/>
      <c r="J364" s="809"/>
      <c r="K364" s="809"/>
      <c r="L364" s="809"/>
      <c r="M364" s="809"/>
      <c r="N364" s="810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  <c r="AB364" s="355"/>
      <c r="AC364" s="355"/>
      <c r="AD364" s="355"/>
      <c r="AE364" s="355"/>
      <c r="AF364" s="355"/>
      <c r="AG364" s="355"/>
      <c r="AH364" s="355"/>
      <c r="AI364" s="355"/>
      <c r="AJ364" s="355"/>
      <c r="AK364" s="355"/>
      <c r="AL364" s="355"/>
      <c r="AM364" s="355"/>
    </row>
    <row r="365" spans="1:144" ht="18.75" hidden="1" customHeight="1">
      <c r="A365" s="7"/>
      <c r="B365" s="356"/>
      <c r="C365" s="802"/>
      <c r="D365" s="803"/>
      <c r="E365" s="803"/>
      <c r="F365" s="803"/>
      <c r="G365" s="803"/>
      <c r="H365" s="803"/>
      <c r="I365" s="803"/>
      <c r="J365" s="803"/>
      <c r="K365" s="803"/>
      <c r="L365" s="803"/>
      <c r="M365" s="329"/>
      <c r="N365" s="477"/>
      <c r="O365" s="45"/>
      <c r="AB365" s="123"/>
      <c r="AC365" s="123"/>
      <c r="AD365" s="123"/>
      <c r="AE365" s="123"/>
      <c r="AF365" s="123"/>
      <c r="AG365" s="123"/>
      <c r="AH365" s="123"/>
      <c r="AI365" s="123"/>
      <c r="AJ365" s="123"/>
      <c r="AK365" s="123"/>
      <c r="AL365" s="123"/>
      <c r="AM365" s="12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</row>
    <row r="366" spans="1:144" hidden="1">
      <c r="A366" s="7"/>
      <c r="B366" s="331"/>
      <c r="C366" s="785" t="s">
        <v>438</v>
      </c>
      <c r="D366" s="786"/>
      <c r="E366" s="786"/>
      <c r="F366" s="786"/>
      <c r="G366" s="786"/>
      <c r="H366" s="786"/>
      <c r="I366" s="786"/>
      <c r="J366" s="786"/>
      <c r="K366" s="786"/>
      <c r="L366" s="786"/>
      <c r="M366" s="787"/>
      <c r="N366" s="461"/>
      <c r="O366" s="45"/>
      <c r="AB366" s="123"/>
      <c r="AC366" s="123"/>
      <c r="AD366" s="123"/>
      <c r="AE366" s="123"/>
      <c r="AF366" s="123"/>
      <c r="AG366" s="123"/>
      <c r="AH366" s="123"/>
      <c r="AI366" s="123"/>
      <c r="AJ366" s="123"/>
      <c r="AK366" s="123"/>
      <c r="AL366" s="123"/>
      <c r="AM366" s="12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</row>
    <row r="367" spans="1:144" s="14" customFormat="1" ht="79.5" customHeight="1">
      <c r="A367" s="9"/>
      <c r="B367" s="35" t="s">
        <v>447</v>
      </c>
      <c r="C367" s="367" t="s">
        <v>558</v>
      </c>
      <c r="D367" s="10" t="s">
        <v>439</v>
      </c>
      <c r="E367" s="745">
        <v>46600</v>
      </c>
      <c r="F367" s="745">
        <v>46600</v>
      </c>
      <c r="G367" s="366">
        <f t="shared" ref="G367:G373" si="21">(F367/E367)*100</f>
        <v>100</v>
      </c>
      <c r="H367" s="399">
        <f>G367/100</f>
        <v>1</v>
      </c>
      <c r="I367" s="330" t="s">
        <v>440</v>
      </c>
      <c r="J367" s="12" t="s">
        <v>23</v>
      </c>
      <c r="K367" s="12">
        <v>33</v>
      </c>
      <c r="L367" s="12">
        <v>35</v>
      </c>
      <c r="M367" s="13">
        <f>L367/K367*100</f>
        <v>106.06060606060606</v>
      </c>
      <c r="N367" s="436">
        <f>M367/100</f>
        <v>1.0606060606060606</v>
      </c>
      <c r="O367" s="58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  <c r="AB367" s="355"/>
      <c r="AC367" s="355"/>
      <c r="AD367" s="355"/>
      <c r="AE367" s="355"/>
      <c r="AF367" s="355"/>
      <c r="AG367" s="355"/>
      <c r="AH367" s="355"/>
      <c r="AI367" s="355"/>
      <c r="AJ367" s="355"/>
      <c r="AK367" s="355"/>
      <c r="AL367" s="355"/>
      <c r="AM367" s="355"/>
    </row>
    <row r="368" spans="1:144" s="65" customFormat="1" ht="81.75" customHeight="1">
      <c r="B368" s="35" t="s">
        <v>448</v>
      </c>
      <c r="C368" s="46" t="s">
        <v>772</v>
      </c>
      <c r="D368" s="224" t="s">
        <v>443</v>
      </c>
      <c r="E368" s="745">
        <v>151900</v>
      </c>
      <c r="F368" s="745">
        <v>151900</v>
      </c>
      <c r="G368" s="591">
        <f t="shared" si="21"/>
        <v>100</v>
      </c>
      <c r="H368" s="399">
        <f t="shared" ref="H368:H372" si="22">G368/100</f>
        <v>1</v>
      </c>
      <c r="I368" s="98" t="s">
        <v>441</v>
      </c>
      <c r="J368" s="357" t="s">
        <v>164</v>
      </c>
      <c r="K368" s="106">
        <v>426</v>
      </c>
      <c r="L368" s="106">
        <v>426</v>
      </c>
      <c r="M368" s="13">
        <f>L368/K368*100</f>
        <v>100</v>
      </c>
      <c r="N368" s="598">
        <f t="shared" ref="N368:N370" si="23">M368/100</f>
        <v>1</v>
      </c>
      <c r="O368" s="6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</row>
    <row r="369" spans="1:144" s="65" customFormat="1" ht="81.75" customHeight="1">
      <c r="B369" s="35"/>
      <c r="C369" s="46" t="s">
        <v>773</v>
      </c>
      <c r="D369" s="224" t="s">
        <v>443</v>
      </c>
      <c r="E369" s="728">
        <v>814100</v>
      </c>
      <c r="F369" s="728">
        <v>814100</v>
      </c>
      <c r="G369" s="725">
        <f t="shared" si="21"/>
        <v>100</v>
      </c>
      <c r="H369" s="399">
        <f t="shared" si="22"/>
        <v>1</v>
      </c>
      <c r="I369" s="98"/>
      <c r="J369" s="357"/>
      <c r="K369" s="106"/>
      <c r="L369" s="106"/>
      <c r="M369" s="13"/>
      <c r="N369" s="598"/>
      <c r="O369" s="6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</row>
    <row r="370" spans="1:144" s="65" customFormat="1" ht="71.25" customHeight="1">
      <c r="B370" s="35" t="s">
        <v>452</v>
      </c>
      <c r="C370" s="46" t="s">
        <v>708</v>
      </c>
      <c r="D370" s="224" t="s">
        <v>443</v>
      </c>
      <c r="E370" s="745">
        <v>1262600</v>
      </c>
      <c r="F370" s="745">
        <v>1262600</v>
      </c>
      <c r="G370" s="591">
        <f t="shared" si="21"/>
        <v>100</v>
      </c>
      <c r="H370" s="399">
        <f t="shared" si="22"/>
        <v>1</v>
      </c>
      <c r="I370" s="120" t="s">
        <v>442</v>
      </c>
      <c r="J370" s="47" t="s">
        <v>12</v>
      </c>
      <c r="K370" s="47">
        <v>39.950000000000003</v>
      </c>
      <c r="L370" s="47">
        <v>40.880000000000003</v>
      </c>
      <c r="M370" s="13">
        <f>L370/K370*100</f>
        <v>102.3279098873592</v>
      </c>
      <c r="N370" s="598">
        <f t="shared" si="23"/>
        <v>1.023279098873592</v>
      </c>
      <c r="O370" s="6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</row>
    <row r="371" spans="1:144" s="65" customFormat="1" ht="61.5" customHeight="1">
      <c r="B371" s="35" t="s">
        <v>453</v>
      </c>
      <c r="C371" s="46" t="s">
        <v>709</v>
      </c>
      <c r="D371" s="224" t="s">
        <v>443</v>
      </c>
      <c r="E371" s="745">
        <v>192000</v>
      </c>
      <c r="F371" s="745">
        <v>192000</v>
      </c>
      <c r="G371" s="591">
        <f t="shared" si="21"/>
        <v>100</v>
      </c>
      <c r="H371" s="399">
        <f t="shared" si="22"/>
        <v>1</v>
      </c>
      <c r="I371" s="120"/>
      <c r="J371" s="47"/>
      <c r="K371" s="47"/>
      <c r="L371" s="47"/>
      <c r="M371" s="47"/>
      <c r="N371" s="251"/>
      <c r="O371" s="6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</row>
    <row r="372" spans="1:144" s="65" customFormat="1" ht="90.75" customHeight="1">
      <c r="B372" s="35" t="s">
        <v>454</v>
      </c>
      <c r="C372" s="46" t="s">
        <v>710</v>
      </c>
      <c r="D372" s="224" t="s">
        <v>333</v>
      </c>
      <c r="E372" s="745">
        <v>8082000</v>
      </c>
      <c r="F372" s="745">
        <v>8082000</v>
      </c>
      <c r="G372" s="435">
        <f t="shared" si="21"/>
        <v>100</v>
      </c>
      <c r="H372" s="399">
        <f t="shared" si="22"/>
        <v>1</v>
      </c>
      <c r="I372" s="120"/>
      <c r="J372" s="130"/>
      <c r="K372" s="130"/>
      <c r="L372" s="130"/>
      <c r="M372" s="47"/>
      <c r="N372" s="251"/>
      <c r="O372" s="6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</row>
    <row r="373" spans="1:144" s="100" customFormat="1" ht="27.75" customHeight="1">
      <c r="B373" s="63"/>
      <c r="C373" s="201" t="s">
        <v>21</v>
      </c>
      <c r="D373" s="401"/>
      <c r="E373" s="358">
        <f>E367+E368+E369+E370+E371+E372</f>
        <v>10549200</v>
      </c>
      <c r="F373" s="358">
        <f>F367+F368+F369+F370+F371+F372</f>
        <v>10549200</v>
      </c>
      <c r="G373" s="482">
        <f t="shared" si="21"/>
        <v>100</v>
      </c>
      <c r="H373" s="456">
        <f>G373/100</f>
        <v>1</v>
      </c>
      <c r="I373" s="101"/>
      <c r="J373" s="88"/>
      <c r="K373" s="88"/>
      <c r="L373" s="88"/>
      <c r="M373" s="484">
        <f>(M367+M368+M370)/3</f>
        <v>102.7961719826551</v>
      </c>
      <c r="N373" s="484">
        <f>(N367+N368+N370)/3</f>
        <v>1.0279617198265509</v>
      </c>
      <c r="O373" s="56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359"/>
      <c r="AC373" s="359"/>
      <c r="AD373" s="359"/>
      <c r="AE373" s="359"/>
      <c r="AF373" s="359"/>
      <c r="AG373" s="359"/>
      <c r="AH373" s="359"/>
      <c r="AI373" s="359"/>
      <c r="AJ373" s="359"/>
      <c r="AK373" s="359"/>
      <c r="AL373" s="359"/>
      <c r="AM373" s="359"/>
    </row>
    <row r="374" spans="1:144" ht="30" customHeight="1">
      <c r="A374" s="7"/>
      <c r="B374" s="99" t="s">
        <v>449</v>
      </c>
      <c r="C374" s="796" t="s">
        <v>201</v>
      </c>
      <c r="D374" s="797"/>
      <c r="E374" s="797"/>
      <c r="F374" s="797"/>
      <c r="G374" s="797"/>
      <c r="H374" s="797"/>
      <c r="I374" s="797"/>
      <c r="J374" s="797"/>
      <c r="K374" s="797"/>
      <c r="L374" s="797"/>
      <c r="M374" s="797"/>
      <c r="N374" s="478"/>
      <c r="O374" s="45"/>
      <c r="AB374" s="123"/>
      <c r="AC374" s="123"/>
      <c r="AD374" s="123"/>
      <c r="AE374" s="123"/>
      <c r="AF374" s="123"/>
      <c r="AG374" s="123"/>
      <c r="AH374" s="123"/>
      <c r="AI374" s="123"/>
      <c r="AJ374" s="123"/>
      <c r="AK374" s="123"/>
      <c r="AL374" s="123"/>
      <c r="AM374" s="12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</row>
    <row r="375" spans="1:144" ht="22.5" customHeight="1">
      <c r="A375" s="7"/>
      <c r="B375" s="331"/>
      <c r="C375" s="785" t="s">
        <v>202</v>
      </c>
      <c r="D375" s="786"/>
      <c r="E375" s="786"/>
      <c r="F375" s="786"/>
      <c r="G375" s="786"/>
      <c r="H375" s="786"/>
      <c r="I375" s="786"/>
      <c r="J375" s="786"/>
      <c r="K375" s="786"/>
      <c r="L375" s="786"/>
      <c r="M375" s="787"/>
      <c r="N375" s="461"/>
      <c r="O375" s="45"/>
      <c r="AB375" s="123"/>
      <c r="AC375" s="123"/>
      <c r="AD375" s="123"/>
      <c r="AE375" s="123"/>
      <c r="AF375" s="123"/>
      <c r="AG375" s="123"/>
      <c r="AH375" s="123"/>
      <c r="AI375" s="123"/>
      <c r="AJ375" s="123"/>
      <c r="AK375" s="123"/>
      <c r="AL375" s="123"/>
      <c r="AM375" s="12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</row>
    <row r="376" spans="1:144" ht="21" customHeight="1">
      <c r="A376" s="7"/>
      <c r="B376" s="331"/>
      <c r="C376" s="785" t="s">
        <v>203</v>
      </c>
      <c r="D376" s="786"/>
      <c r="E376" s="786"/>
      <c r="F376" s="786"/>
      <c r="G376" s="786"/>
      <c r="H376" s="786"/>
      <c r="I376" s="786"/>
      <c r="J376" s="786"/>
      <c r="K376" s="786"/>
      <c r="L376" s="786"/>
      <c r="M376" s="787"/>
      <c r="N376" s="461"/>
      <c r="O376" s="45"/>
      <c r="AB376" s="123"/>
      <c r="AC376" s="123"/>
      <c r="AD376" s="123"/>
      <c r="AE376" s="123"/>
      <c r="AF376" s="123"/>
      <c r="AG376" s="123"/>
      <c r="AH376" s="123"/>
      <c r="AI376" s="123"/>
      <c r="AJ376" s="123"/>
      <c r="AK376" s="123"/>
      <c r="AL376" s="123"/>
      <c r="AM376" s="12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</row>
    <row r="377" spans="1:144" ht="25.5" customHeight="1">
      <c r="A377" s="7"/>
      <c r="B377" s="331"/>
      <c r="C377" s="808" t="s">
        <v>204</v>
      </c>
      <c r="D377" s="809"/>
      <c r="E377" s="809"/>
      <c r="F377" s="809"/>
      <c r="G377" s="809"/>
      <c r="H377" s="809"/>
      <c r="I377" s="809"/>
      <c r="J377" s="809"/>
      <c r="K377" s="809"/>
      <c r="L377" s="809"/>
      <c r="M377" s="809"/>
      <c r="N377" s="810"/>
      <c r="O377" s="45"/>
      <c r="AB377" s="123"/>
      <c r="AC377" s="123"/>
      <c r="AD377" s="123"/>
      <c r="AE377" s="123"/>
      <c r="AF377" s="123"/>
      <c r="AG377" s="123"/>
      <c r="AH377" s="123"/>
      <c r="AI377" s="123"/>
      <c r="AJ377" s="123"/>
      <c r="AK377" s="123"/>
      <c r="AL377" s="123"/>
      <c r="AM377" s="12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</row>
    <row r="378" spans="1:144">
      <c r="A378" s="7"/>
      <c r="B378" s="35"/>
      <c r="C378" s="808" t="s">
        <v>205</v>
      </c>
      <c r="D378" s="809"/>
      <c r="E378" s="809"/>
      <c r="F378" s="809"/>
      <c r="G378" s="809"/>
      <c r="H378" s="809"/>
      <c r="I378" s="809"/>
      <c r="J378" s="809"/>
      <c r="K378" s="809"/>
      <c r="L378" s="809"/>
      <c r="M378" s="809"/>
      <c r="N378" s="810"/>
      <c r="O378" s="45"/>
      <c r="AB378" s="123"/>
      <c r="AC378" s="123"/>
      <c r="AD378" s="123"/>
      <c r="AE378" s="123"/>
      <c r="AF378" s="123"/>
      <c r="AG378" s="123"/>
      <c r="AH378" s="123"/>
      <c r="AI378" s="123"/>
      <c r="AJ378" s="123"/>
      <c r="AK378" s="123"/>
      <c r="AL378" s="123"/>
      <c r="AM378" s="12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</row>
    <row r="379" spans="1:144" ht="102">
      <c r="A379" s="7"/>
      <c r="B379" s="89" t="s">
        <v>450</v>
      </c>
      <c r="C379" s="367" t="s">
        <v>775</v>
      </c>
      <c r="D379" s="172">
        <v>30</v>
      </c>
      <c r="E379" s="728">
        <v>30400</v>
      </c>
      <c r="F379" s="728">
        <v>30400</v>
      </c>
      <c r="G379" s="738">
        <f>F379/E379*100</f>
        <v>100</v>
      </c>
      <c r="H379" s="738">
        <f>G379/100</f>
        <v>1</v>
      </c>
      <c r="I379" s="49" t="s">
        <v>455</v>
      </c>
      <c r="J379" s="51" t="s">
        <v>164</v>
      </c>
      <c r="K379" s="51">
        <v>320</v>
      </c>
      <c r="L379" s="51">
        <v>353</v>
      </c>
      <c r="M379" s="50">
        <f>L379/K379*100</f>
        <v>110.31249999999999</v>
      </c>
      <c r="N379" s="479">
        <f>M379/100</f>
        <v>1.1031249999999999</v>
      </c>
      <c r="O379" s="45"/>
      <c r="AB379" s="123"/>
      <c r="AC379" s="123"/>
      <c r="AD379" s="123"/>
      <c r="AE379" s="123"/>
      <c r="AF379" s="123"/>
      <c r="AG379" s="123"/>
      <c r="AH379" s="123"/>
      <c r="AI379" s="123"/>
      <c r="AJ379" s="123"/>
      <c r="AK379" s="123"/>
      <c r="AL379" s="123"/>
      <c r="AM379" s="12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</row>
    <row r="380" spans="1:144" ht="65.25" customHeight="1">
      <c r="A380" s="7"/>
      <c r="B380" s="89" t="s">
        <v>451</v>
      </c>
      <c r="C380" s="90" t="s">
        <v>711</v>
      </c>
      <c r="D380" s="172">
        <v>30</v>
      </c>
      <c r="E380" s="728">
        <v>4565700</v>
      </c>
      <c r="F380" s="728">
        <v>4565700</v>
      </c>
      <c r="G380" s="362">
        <f>(F380/E380)*100</f>
        <v>100</v>
      </c>
      <c r="H380" s="428">
        <v>1</v>
      </c>
      <c r="I380" s="330" t="s">
        <v>206</v>
      </c>
      <c r="J380" s="12" t="s">
        <v>164</v>
      </c>
      <c r="K380" s="12">
        <v>92</v>
      </c>
      <c r="L380" s="12">
        <v>89</v>
      </c>
      <c r="M380" s="50">
        <f>L380/K380*100</f>
        <v>96.739130434782609</v>
      </c>
      <c r="N380" s="479">
        <f>M380/100</f>
        <v>0.96739130434782605</v>
      </c>
      <c r="O380" s="45"/>
      <c r="AB380" s="123"/>
      <c r="AC380" s="123"/>
      <c r="AD380" s="123"/>
      <c r="AE380" s="123"/>
      <c r="AF380" s="123"/>
      <c r="AG380" s="123"/>
      <c r="AH380" s="123"/>
      <c r="AI380" s="123"/>
      <c r="AJ380" s="123"/>
      <c r="AK380" s="123"/>
      <c r="AL380" s="123"/>
      <c r="AM380" s="12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</row>
    <row r="381" spans="1:144" s="45" customFormat="1" ht="106.5" customHeight="1">
      <c r="A381" s="52"/>
      <c r="B381" s="724" t="s">
        <v>774</v>
      </c>
      <c r="C381" s="44" t="s">
        <v>712</v>
      </c>
      <c r="D381" s="207">
        <v>30</v>
      </c>
      <c r="E381" s="728">
        <v>290800</v>
      </c>
      <c r="F381" s="728">
        <v>290800</v>
      </c>
      <c r="G381" s="362">
        <f>(F381/E381)*100</f>
        <v>100</v>
      </c>
      <c r="H381" s="540">
        <v>1</v>
      </c>
      <c r="O381" s="594"/>
      <c r="P381" s="382"/>
      <c r="Q381" s="382"/>
      <c r="R381" s="382"/>
      <c r="S381" s="382"/>
      <c r="T381" s="382"/>
      <c r="U381" s="382"/>
      <c r="V381" s="382"/>
      <c r="W381" s="382"/>
      <c r="X381" s="382"/>
      <c r="Y381" s="382"/>
      <c r="Z381" s="382"/>
      <c r="AA381" s="382"/>
      <c r="AB381" s="123"/>
      <c r="AC381" s="123"/>
      <c r="AD381" s="123"/>
      <c r="AE381" s="123"/>
      <c r="AF381" s="123"/>
      <c r="AG381" s="123"/>
      <c r="AH381" s="123"/>
      <c r="AI381" s="123"/>
      <c r="AJ381" s="123"/>
      <c r="AK381" s="123"/>
      <c r="AL381" s="123"/>
      <c r="AM381" s="123"/>
    </row>
    <row r="382" spans="1:144" s="85" customFormat="1" ht="30.75" customHeight="1">
      <c r="B382" s="102"/>
      <c r="C382" s="103" t="s">
        <v>24</v>
      </c>
      <c r="D382" s="414"/>
      <c r="E382" s="541">
        <f>E379+E380+E381</f>
        <v>4886900</v>
      </c>
      <c r="F382" s="541">
        <f>F379+F380+F381</f>
        <v>4886900</v>
      </c>
      <c r="G382" s="541">
        <v>100</v>
      </c>
      <c r="H382" s="511">
        <v>1</v>
      </c>
      <c r="I382" s="103"/>
      <c r="J382" s="104"/>
      <c r="K382" s="104"/>
      <c r="L382" s="104"/>
      <c r="M382" s="507">
        <f>(M379+M380)/2</f>
        <v>103.5258152173913</v>
      </c>
      <c r="N382" s="507">
        <f>(N379+N380)/2</f>
        <v>1.035258152173913</v>
      </c>
      <c r="O382" s="56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359"/>
      <c r="AC382" s="359"/>
      <c r="AD382" s="359"/>
      <c r="AE382" s="359"/>
      <c r="AF382" s="359"/>
      <c r="AG382" s="359"/>
      <c r="AH382" s="359"/>
      <c r="AI382" s="359"/>
      <c r="AJ382" s="359"/>
      <c r="AK382" s="359"/>
      <c r="AL382" s="359"/>
      <c r="AM382" s="359"/>
    </row>
    <row r="383" spans="1:144" s="561" customFormat="1" ht="29.25" customHeight="1">
      <c r="B383" s="739"/>
      <c r="C383" s="740" t="s">
        <v>536</v>
      </c>
      <c r="D383" s="556"/>
      <c r="E383" s="573">
        <f>E373+E382</f>
        <v>15436100</v>
      </c>
      <c r="F383" s="573">
        <f>F382+F373</f>
        <v>15436100</v>
      </c>
      <c r="G383" s="741">
        <f>F383/E383</f>
        <v>1</v>
      </c>
      <c r="H383" s="742">
        <v>1</v>
      </c>
      <c r="I383" s="906" t="s">
        <v>535</v>
      </c>
      <c r="J383" s="907"/>
      <c r="K383" s="907"/>
      <c r="L383" s="907"/>
      <c r="M383" s="743">
        <f>(M373+M382)/2</f>
        <v>103.1609936000232</v>
      </c>
      <c r="N383" s="743">
        <f>M383/100</f>
        <v>1.031609936000232</v>
      </c>
      <c r="O383" s="744"/>
      <c r="P383" s="388"/>
      <c r="Q383" s="388"/>
      <c r="R383" s="388"/>
      <c r="S383" s="388"/>
      <c r="T383" s="388"/>
      <c r="U383" s="388"/>
      <c r="V383" s="388"/>
      <c r="W383" s="388"/>
      <c r="X383" s="388"/>
      <c r="Y383" s="388"/>
      <c r="Z383" s="388"/>
      <c r="AA383" s="388"/>
      <c r="AB383" s="388"/>
      <c r="AC383" s="388"/>
      <c r="AD383" s="388"/>
      <c r="AE383" s="388"/>
      <c r="AF383" s="388"/>
      <c r="AG383" s="388"/>
      <c r="AH383" s="388"/>
      <c r="AI383" s="388"/>
      <c r="AJ383" s="388"/>
      <c r="AK383" s="388"/>
      <c r="AL383" s="388"/>
      <c r="AM383" s="388"/>
    </row>
    <row r="384" spans="1:144" s="65" customFormat="1" ht="29.25" customHeight="1">
      <c r="B384" s="107"/>
      <c r="C384" s="162" t="s">
        <v>516</v>
      </c>
      <c r="D384" s="500" t="s">
        <v>520</v>
      </c>
      <c r="E384" s="522">
        <v>0</v>
      </c>
      <c r="F384" s="522">
        <v>0</v>
      </c>
      <c r="G384" s="502"/>
      <c r="H384" s="512"/>
      <c r="I384" s="434"/>
      <c r="J384" s="434"/>
      <c r="K384" s="434"/>
      <c r="L384" s="434"/>
      <c r="M384" s="523"/>
      <c r="N384" s="544"/>
      <c r="O384" s="6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</row>
    <row r="385" spans="1:144" s="65" customFormat="1" ht="29.25" customHeight="1">
      <c r="B385" s="107"/>
      <c r="C385" s="162" t="s">
        <v>517</v>
      </c>
      <c r="D385" s="500" t="s">
        <v>329</v>
      </c>
      <c r="E385" s="522">
        <v>0</v>
      </c>
      <c r="F385" s="522">
        <v>0</v>
      </c>
      <c r="G385" s="502"/>
      <c r="H385" s="512"/>
      <c r="I385" s="434"/>
      <c r="J385" s="434"/>
      <c r="K385" s="434"/>
      <c r="L385" s="434"/>
      <c r="M385" s="523"/>
      <c r="N385" s="544"/>
      <c r="O385" s="6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</row>
    <row r="386" spans="1:144" s="65" customFormat="1" ht="29.25" customHeight="1">
      <c r="B386" s="107"/>
      <c r="C386" s="162" t="s">
        <v>518</v>
      </c>
      <c r="D386" s="500" t="s">
        <v>521</v>
      </c>
      <c r="E386" s="522">
        <f>14924*1000</f>
        <v>14924000</v>
      </c>
      <c r="F386" s="522">
        <f>14924*1000</f>
        <v>14924000</v>
      </c>
      <c r="G386" s="502"/>
      <c r="H386" s="512"/>
      <c r="I386" s="434"/>
      <c r="J386" s="434"/>
      <c r="K386" s="434"/>
      <c r="L386" s="434"/>
      <c r="M386" s="523"/>
      <c r="N386" s="544"/>
      <c r="O386" s="6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</row>
    <row r="387" spans="1:144" s="65" customFormat="1" ht="29.25" customHeight="1">
      <c r="B387" s="107"/>
      <c r="C387" s="162" t="s">
        <v>519</v>
      </c>
      <c r="D387" s="500" t="s">
        <v>522</v>
      </c>
      <c r="E387" s="522">
        <v>0</v>
      </c>
      <c r="F387" s="522">
        <v>0</v>
      </c>
      <c r="G387" s="502"/>
      <c r="H387" s="512"/>
      <c r="I387" s="434"/>
      <c r="J387" s="434"/>
      <c r="K387" s="434"/>
      <c r="L387" s="434"/>
      <c r="M387" s="523"/>
      <c r="N387" s="544"/>
      <c r="O387" s="6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</row>
    <row r="388" spans="1:144" s="65" customFormat="1" ht="59.25" customHeight="1">
      <c r="B388" s="108"/>
      <c r="C388" s="820" t="s">
        <v>713</v>
      </c>
      <c r="D388" s="836"/>
      <c r="E388" s="836"/>
      <c r="F388" s="836"/>
      <c r="G388" s="836"/>
      <c r="H388" s="836"/>
      <c r="I388" s="836"/>
      <c r="J388" s="836"/>
      <c r="K388" s="836"/>
      <c r="L388" s="836"/>
      <c r="M388" s="836"/>
      <c r="N388" s="837"/>
      <c r="O388" s="56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</row>
    <row r="389" spans="1:144" ht="45" customHeight="1">
      <c r="A389" s="7" t="e">
        <f>#REF!-#REF!</f>
        <v>#REF!</v>
      </c>
      <c r="B389" s="112" t="s">
        <v>165</v>
      </c>
      <c r="C389" s="802" t="s">
        <v>347</v>
      </c>
      <c r="D389" s="803"/>
      <c r="E389" s="803"/>
      <c r="F389" s="803"/>
      <c r="G389" s="803"/>
      <c r="H389" s="803"/>
      <c r="I389" s="803"/>
      <c r="J389" s="803"/>
      <c r="K389" s="803"/>
      <c r="L389" s="803"/>
      <c r="M389" s="803"/>
      <c r="N389" s="853"/>
    </row>
    <row r="390" spans="1:144" ht="27" customHeight="1">
      <c r="A390" s="7"/>
      <c r="B390" s="8"/>
      <c r="C390" s="785" t="s">
        <v>283</v>
      </c>
      <c r="D390" s="786"/>
      <c r="E390" s="786"/>
      <c r="F390" s="786"/>
      <c r="G390" s="786"/>
      <c r="H390" s="786"/>
      <c r="I390" s="786"/>
      <c r="J390" s="786"/>
      <c r="K390" s="786"/>
      <c r="L390" s="786"/>
      <c r="M390" s="786"/>
      <c r="N390" s="787"/>
    </row>
    <row r="391" spans="1:144" ht="33.75" customHeight="1">
      <c r="A391" s="7"/>
      <c r="B391" s="8"/>
      <c r="C391" s="785" t="s">
        <v>284</v>
      </c>
      <c r="D391" s="786"/>
      <c r="E391" s="786"/>
      <c r="F391" s="786"/>
      <c r="G391" s="786"/>
      <c r="H391" s="786"/>
      <c r="I391" s="786"/>
      <c r="J391" s="786"/>
      <c r="K391" s="786"/>
      <c r="L391" s="786"/>
      <c r="M391" s="786"/>
      <c r="N391" s="787"/>
    </row>
    <row r="392" spans="1:144" ht="41.25" customHeight="1">
      <c r="A392" s="7"/>
      <c r="B392" s="8"/>
      <c r="C392" s="785" t="s">
        <v>285</v>
      </c>
      <c r="D392" s="786"/>
      <c r="E392" s="786"/>
      <c r="F392" s="786"/>
      <c r="G392" s="786"/>
      <c r="H392" s="786"/>
      <c r="I392" s="786"/>
      <c r="J392" s="786"/>
      <c r="K392" s="786"/>
      <c r="L392" s="786"/>
      <c r="M392" s="786"/>
      <c r="N392" s="787"/>
    </row>
    <row r="393" spans="1:144" ht="30" customHeight="1">
      <c r="A393" s="7"/>
      <c r="B393" s="8"/>
      <c r="C393" s="785" t="s">
        <v>286</v>
      </c>
      <c r="D393" s="786"/>
      <c r="E393" s="786"/>
      <c r="F393" s="786"/>
      <c r="G393" s="786"/>
      <c r="H393" s="786"/>
      <c r="I393" s="786"/>
      <c r="J393" s="786"/>
      <c r="K393" s="786"/>
      <c r="L393" s="786"/>
      <c r="M393" s="786"/>
      <c r="N393" s="787"/>
      <c r="P393" s="388"/>
      <c r="Q393" s="388"/>
      <c r="R393" s="388"/>
      <c r="S393" s="388"/>
      <c r="T393" s="388"/>
      <c r="U393" s="388"/>
      <c r="V393" s="388"/>
      <c r="W393" s="388"/>
    </row>
    <row r="394" spans="1:144" s="189" customFormat="1" ht="45" customHeight="1">
      <c r="B394" s="326" t="s">
        <v>457</v>
      </c>
      <c r="C394" s="816" t="s">
        <v>456</v>
      </c>
      <c r="D394" s="792"/>
      <c r="E394" s="792"/>
      <c r="F394" s="792"/>
      <c r="G394" s="792"/>
      <c r="H394" s="792"/>
      <c r="I394" s="792"/>
      <c r="J394" s="792"/>
      <c r="K394" s="792"/>
      <c r="L394" s="792"/>
      <c r="M394" s="792"/>
      <c r="N394" s="793"/>
      <c r="O394" s="288"/>
      <c r="P394" s="382"/>
      <c r="Q394" s="382"/>
      <c r="R394" s="382"/>
      <c r="S394" s="382"/>
      <c r="T394" s="382"/>
      <c r="U394" s="382"/>
      <c r="V394" s="382"/>
      <c r="W394" s="382"/>
      <c r="X394" s="388"/>
      <c r="Y394" s="388"/>
      <c r="Z394" s="388"/>
      <c r="AA394" s="38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  <c r="AO394" s="238"/>
      <c r="AP394" s="238"/>
      <c r="AQ394" s="238"/>
      <c r="AR394" s="238"/>
      <c r="AS394" s="238"/>
      <c r="AT394" s="238"/>
      <c r="AU394" s="238"/>
      <c r="AV394" s="238"/>
      <c r="AW394" s="238"/>
      <c r="AX394" s="238"/>
      <c r="AY394" s="238"/>
      <c r="AZ394" s="238"/>
      <c r="BA394" s="238"/>
      <c r="BB394" s="238"/>
      <c r="BC394" s="238"/>
      <c r="BD394" s="238"/>
      <c r="BE394" s="238"/>
      <c r="BF394" s="238"/>
      <c r="BG394" s="238"/>
      <c r="BH394" s="238"/>
      <c r="BI394" s="238"/>
      <c r="BJ394" s="238"/>
      <c r="BK394" s="238"/>
      <c r="BL394" s="238"/>
      <c r="BM394" s="238"/>
      <c r="BN394" s="238"/>
      <c r="BO394" s="238"/>
      <c r="BP394" s="238"/>
      <c r="BQ394" s="238"/>
      <c r="BR394" s="238"/>
      <c r="BS394" s="238"/>
      <c r="BT394" s="238"/>
      <c r="BU394" s="238"/>
      <c r="BV394" s="238"/>
      <c r="BW394" s="238"/>
      <c r="BX394" s="238"/>
      <c r="BY394" s="238"/>
      <c r="BZ394" s="238"/>
      <c r="CA394" s="238"/>
      <c r="CB394" s="238"/>
      <c r="CC394" s="238"/>
      <c r="CD394" s="238"/>
      <c r="CE394" s="238"/>
      <c r="CF394" s="238"/>
      <c r="CG394" s="238"/>
      <c r="CH394" s="238"/>
      <c r="CI394" s="238"/>
      <c r="CJ394" s="238"/>
      <c r="CK394" s="238"/>
      <c r="CL394" s="238"/>
      <c r="CM394" s="238"/>
      <c r="CN394" s="238"/>
      <c r="CO394" s="238"/>
      <c r="CP394" s="238"/>
      <c r="CQ394" s="238"/>
      <c r="CR394" s="238"/>
      <c r="CS394" s="238"/>
      <c r="CT394" s="238"/>
      <c r="CU394" s="238"/>
      <c r="CV394" s="238"/>
      <c r="CW394" s="238"/>
      <c r="CX394" s="238"/>
      <c r="CY394" s="238"/>
      <c r="CZ394" s="238"/>
      <c r="DA394" s="238"/>
      <c r="DB394" s="238"/>
      <c r="DC394" s="238"/>
      <c r="DD394" s="238"/>
      <c r="DE394" s="238"/>
      <c r="DF394" s="238"/>
      <c r="DG394" s="238"/>
      <c r="DH394" s="238"/>
      <c r="DI394" s="238"/>
      <c r="DJ394" s="238"/>
      <c r="DK394" s="238"/>
      <c r="DL394" s="238"/>
      <c r="DM394" s="238"/>
      <c r="DN394" s="238"/>
      <c r="DO394" s="238"/>
      <c r="DP394" s="238"/>
      <c r="DQ394" s="238"/>
      <c r="DR394" s="238"/>
      <c r="DS394" s="238"/>
      <c r="DT394" s="238"/>
      <c r="DU394" s="238"/>
      <c r="DV394" s="238"/>
      <c r="DW394" s="238"/>
      <c r="DX394" s="238"/>
      <c r="DY394" s="238"/>
      <c r="DZ394" s="238"/>
      <c r="EA394" s="238"/>
      <c r="EB394" s="238"/>
      <c r="EC394" s="238"/>
      <c r="ED394" s="238"/>
      <c r="EE394" s="238"/>
      <c r="EF394" s="238"/>
      <c r="EG394" s="238"/>
      <c r="EH394" s="238"/>
      <c r="EI394" s="238"/>
      <c r="EJ394" s="238"/>
      <c r="EK394" s="238"/>
      <c r="EL394" s="238"/>
      <c r="EM394" s="238"/>
      <c r="EN394" s="238"/>
    </row>
    <row r="395" spans="1:144" s="181" customFormat="1" ht="33" customHeight="1">
      <c r="B395" s="8"/>
      <c r="C395" s="817" t="s">
        <v>287</v>
      </c>
      <c r="D395" s="818"/>
      <c r="E395" s="818"/>
      <c r="F395" s="818"/>
      <c r="G395" s="818"/>
      <c r="H395" s="818"/>
      <c r="I395" s="818"/>
      <c r="J395" s="818"/>
      <c r="K395" s="818"/>
      <c r="L395" s="818"/>
      <c r="M395" s="818"/>
      <c r="N395" s="819"/>
      <c r="O395" s="288"/>
      <c r="P395" s="382"/>
      <c r="Q395" s="382"/>
      <c r="R395" s="382"/>
      <c r="S395" s="382"/>
      <c r="T395" s="382"/>
      <c r="U395" s="382"/>
      <c r="V395" s="382"/>
      <c r="W395" s="382"/>
      <c r="X395" s="382"/>
      <c r="Y395" s="382"/>
      <c r="Z395" s="382"/>
      <c r="AA395" s="382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  <c r="EC395" s="124"/>
      <c r="ED395" s="124"/>
      <c r="EE395" s="124"/>
      <c r="EF395" s="124"/>
      <c r="EG395" s="124"/>
      <c r="EH395" s="124"/>
      <c r="EI395" s="124"/>
      <c r="EJ395" s="124"/>
      <c r="EK395" s="124"/>
      <c r="EL395" s="124"/>
      <c r="EM395" s="124"/>
      <c r="EN395" s="124"/>
    </row>
    <row r="396" spans="1:144" s="181" customFormat="1" ht="37.5" customHeight="1">
      <c r="B396" s="8"/>
      <c r="C396" s="817" t="s">
        <v>289</v>
      </c>
      <c r="D396" s="818"/>
      <c r="E396" s="818"/>
      <c r="F396" s="818"/>
      <c r="G396" s="818"/>
      <c r="H396" s="818"/>
      <c r="I396" s="818"/>
      <c r="J396" s="818"/>
      <c r="K396" s="818"/>
      <c r="L396" s="818"/>
      <c r="M396" s="818"/>
      <c r="N396" s="819"/>
      <c r="O396" s="288"/>
      <c r="P396" s="382"/>
      <c r="Q396" s="382"/>
      <c r="R396" s="382"/>
      <c r="S396" s="382"/>
      <c r="T396" s="382"/>
      <c r="U396" s="382"/>
      <c r="V396" s="382"/>
      <c r="W396" s="382"/>
      <c r="X396" s="382"/>
      <c r="Y396" s="382"/>
      <c r="Z396" s="382"/>
      <c r="AA396" s="382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  <c r="EC396" s="124"/>
      <c r="ED396" s="124"/>
      <c r="EE396" s="124"/>
      <c r="EF396" s="124"/>
      <c r="EG396" s="124"/>
      <c r="EH396" s="124"/>
      <c r="EI396" s="124"/>
      <c r="EJ396" s="124"/>
      <c r="EK396" s="124"/>
      <c r="EL396" s="124"/>
      <c r="EM396" s="124"/>
      <c r="EN396" s="124"/>
    </row>
    <row r="397" spans="1:144" s="181" customFormat="1" ht="35.25" customHeight="1">
      <c r="B397" s="8"/>
      <c r="C397" s="817" t="s">
        <v>288</v>
      </c>
      <c r="D397" s="818"/>
      <c r="E397" s="818"/>
      <c r="F397" s="818"/>
      <c r="G397" s="818"/>
      <c r="H397" s="818"/>
      <c r="I397" s="818"/>
      <c r="J397" s="818"/>
      <c r="K397" s="818"/>
      <c r="L397" s="818"/>
      <c r="M397" s="818"/>
      <c r="N397" s="819"/>
      <c r="O397" s="288"/>
      <c r="P397" s="355"/>
      <c r="Q397" s="355"/>
      <c r="R397" s="355"/>
      <c r="S397" s="355"/>
      <c r="T397" s="355"/>
      <c r="U397" s="355"/>
      <c r="V397" s="355"/>
      <c r="W397" s="355"/>
      <c r="X397" s="382"/>
      <c r="Y397" s="382"/>
      <c r="Z397" s="382"/>
      <c r="AA397" s="382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  <c r="EC397" s="124"/>
      <c r="ED397" s="124"/>
      <c r="EE397" s="124"/>
      <c r="EF397" s="124"/>
      <c r="EG397" s="124"/>
      <c r="EH397" s="124"/>
      <c r="EI397" s="124"/>
      <c r="EJ397" s="124"/>
      <c r="EK397" s="124"/>
      <c r="EL397" s="124"/>
      <c r="EM397" s="124"/>
      <c r="EN397" s="124"/>
    </row>
    <row r="398" spans="1:144" s="14" customFormat="1" ht="93" customHeight="1">
      <c r="A398" s="9"/>
      <c r="B398" s="35" t="s">
        <v>458</v>
      </c>
      <c r="C398" s="367" t="s">
        <v>714</v>
      </c>
      <c r="D398" s="10" t="s">
        <v>331</v>
      </c>
      <c r="E398" s="696">
        <f>52850</f>
        <v>52850</v>
      </c>
      <c r="F398" s="696">
        <f>52850</f>
        <v>52850</v>
      </c>
      <c r="G398" s="366">
        <f>F398/E398*100</f>
        <v>100</v>
      </c>
      <c r="H398" s="399">
        <f>G398/100</f>
        <v>1</v>
      </c>
      <c r="I398" s="11" t="s">
        <v>290</v>
      </c>
      <c r="J398" s="12" t="s">
        <v>23</v>
      </c>
      <c r="K398" s="698">
        <v>4100</v>
      </c>
      <c r="L398" s="698">
        <v>4065</v>
      </c>
      <c r="M398" s="13">
        <f>L398/K398*100</f>
        <v>99.146341463414629</v>
      </c>
      <c r="N398" s="396">
        <f>M398/100</f>
        <v>0.99146341463414633</v>
      </c>
      <c r="O398" s="288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7"/>
      <c r="CD398" s="127"/>
      <c r="CE398" s="127"/>
      <c r="CF398" s="127"/>
      <c r="CG398" s="127"/>
      <c r="CH398" s="127"/>
      <c r="CI398" s="127"/>
      <c r="CJ398" s="127"/>
      <c r="CK398" s="127"/>
      <c r="CL398" s="127"/>
      <c r="CM398" s="127"/>
      <c r="CN398" s="127"/>
      <c r="CO398" s="127"/>
      <c r="CP398" s="127"/>
      <c r="CQ398" s="127"/>
      <c r="CR398" s="127"/>
      <c r="CS398" s="127"/>
      <c r="CT398" s="127"/>
      <c r="CU398" s="127"/>
      <c r="CV398" s="127"/>
      <c r="CW398" s="127"/>
      <c r="CX398" s="127"/>
      <c r="CY398" s="127"/>
      <c r="CZ398" s="127"/>
      <c r="DA398" s="127"/>
      <c r="DB398" s="127"/>
      <c r="DC398" s="127"/>
      <c r="DD398" s="127"/>
      <c r="DE398" s="127"/>
      <c r="DF398" s="127"/>
      <c r="DG398" s="127"/>
      <c r="DH398" s="127"/>
      <c r="DI398" s="127"/>
      <c r="DJ398" s="127"/>
      <c r="DK398" s="127"/>
      <c r="DL398" s="127"/>
      <c r="DM398" s="127"/>
      <c r="DN398" s="127"/>
      <c r="DO398" s="127"/>
      <c r="DP398" s="127"/>
      <c r="DQ398" s="127"/>
      <c r="DR398" s="127"/>
      <c r="DS398" s="127"/>
      <c r="DT398" s="127"/>
      <c r="DU398" s="127"/>
      <c r="DV398" s="127"/>
      <c r="DW398" s="127"/>
      <c r="DX398" s="127"/>
      <c r="DY398" s="127"/>
      <c r="DZ398" s="127"/>
      <c r="EA398" s="127"/>
      <c r="EB398" s="127"/>
      <c r="EC398" s="127"/>
      <c r="ED398" s="127"/>
      <c r="EE398" s="127"/>
      <c r="EF398" s="127"/>
      <c r="EG398" s="127"/>
      <c r="EH398" s="127"/>
      <c r="EI398" s="127"/>
      <c r="EJ398" s="127"/>
      <c r="EK398" s="127"/>
      <c r="EL398" s="127"/>
      <c r="EM398" s="127"/>
      <c r="EN398" s="127"/>
    </row>
    <row r="399" spans="1:144" s="14" customFormat="1" ht="50.25" customHeight="1">
      <c r="A399" s="9"/>
      <c r="B399" s="35" t="s">
        <v>459</v>
      </c>
      <c r="C399" s="367" t="s">
        <v>715</v>
      </c>
      <c r="D399" s="10">
        <v>10</v>
      </c>
      <c r="E399" s="696">
        <f>1689664</f>
        <v>1689664</v>
      </c>
      <c r="F399" s="696">
        <f>1689664</f>
        <v>1689664</v>
      </c>
      <c r="G399" s="593">
        <f>F399/E399*100</f>
        <v>100</v>
      </c>
      <c r="H399" s="399">
        <v>1</v>
      </c>
      <c r="I399" s="225" t="s">
        <v>363</v>
      </c>
      <c r="J399" s="12" t="s">
        <v>364</v>
      </c>
      <c r="K399" s="698">
        <v>755</v>
      </c>
      <c r="L399" s="698">
        <v>927</v>
      </c>
      <c r="M399" s="13">
        <f>L399/K399*100</f>
        <v>122.78145695364238</v>
      </c>
      <c r="N399" s="598">
        <f t="shared" ref="N399:N406" si="24">M399/100</f>
        <v>1.2278145695364238</v>
      </c>
      <c r="O399" s="288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/>
      <c r="CC399" s="127"/>
      <c r="CD399" s="127"/>
      <c r="CE399" s="127"/>
      <c r="CF399" s="127"/>
      <c r="CG399" s="127"/>
      <c r="CH399" s="127"/>
      <c r="CI399" s="127"/>
      <c r="CJ399" s="127"/>
      <c r="CK399" s="127"/>
      <c r="CL399" s="127"/>
      <c r="CM399" s="127"/>
      <c r="CN399" s="127"/>
      <c r="CO399" s="127"/>
      <c r="CP399" s="127"/>
      <c r="CQ399" s="127"/>
      <c r="CR399" s="127"/>
      <c r="CS399" s="127"/>
      <c r="CT399" s="127"/>
      <c r="CU399" s="127"/>
      <c r="CV399" s="127"/>
      <c r="CW399" s="127"/>
      <c r="CX399" s="127"/>
      <c r="CY399" s="127"/>
      <c r="CZ399" s="127"/>
      <c r="DA399" s="127"/>
      <c r="DB399" s="127"/>
      <c r="DC399" s="127"/>
      <c r="DD399" s="127"/>
      <c r="DE399" s="127"/>
      <c r="DF399" s="127"/>
      <c r="DG399" s="127"/>
      <c r="DH399" s="127"/>
      <c r="DI399" s="127"/>
      <c r="DJ399" s="127"/>
      <c r="DK399" s="127"/>
      <c r="DL399" s="127"/>
      <c r="DM399" s="127"/>
      <c r="DN399" s="127"/>
      <c r="DO399" s="127"/>
      <c r="DP399" s="127"/>
      <c r="DQ399" s="127"/>
      <c r="DR399" s="127"/>
      <c r="DS399" s="127"/>
      <c r="DT399" s="127"/>
      <c r="DU399" s="127"/>
      <c r="DV399" s="127"/>
      <c r="DW399" s="127"/>
      <c r="DX399" s="127"/>
      <c r="DY399" s="127"/>
      <c r="DZ399" s="127"/>
      <c r="EA399" s="127"/>
      <c r="EB399" s="127"/>
      <c r="EC399" s="127"/>
      <c r="ED399" s="127"/>
      <c r="EE399" s="127"/>
      <c r="EF399" s="127"/>
      <c r="EG399" s="127"/>
      <c r="EH399" s="127"/>
      <c r="EI399" s="127"/>
      <c r="EJ399" s="127"/>
      <c r="EK399" s="127"/>
      <c r="EL399" s="127"/>
      <c r="EM399" s="127"/>
      <c r="EN399" s="127"/>
    </row>
    <row r="400" spans="1:144" s="14" customFormat="1" ht="48.75" customHeight="1">
      <c r="A400" s="9"/>
      <c r="B400" s="89" t="s">
        <v>460</v>
      </c>
      <c r="C400" s="90" t="s">
        <v>716</v>
      </c>
      <c r="D400" s="172" t="s">
        <v>331</v>
      </c>
      <c r="E400" s="696">
        <f>1197900</f>
        <v>1197900</v>
      </c>
      <c r="F400" s="696">
        <f>1197767.68</f>
        <v>1197767.6799999999</v>
      </c>
      <c r="G400" s="593">
        <f>F400/E400*100</f>
        <v>99.988954002838298</v>
      </c>
      <c r="H400" s="399">
        <v>1</v>
      </c>
      <c r="I400" s="11" t="s">
        <v>291</v>
      </c>
      <c r="J400" s="12" t="s">
        <v>302</v>
      </c>
      <c r="K400" s="257">
        <v>1</v>
      </c>
      <c r="L400" s="257">
        <v>1</v>
      </c>
      <c r="M400" s="13">
        <f>L400/K400*100</f>
        <v>100</v>
      </c>
      <c r="N400" s="598">
        <f t="shared" si="24"/>
        <v>1</v>
      </c>
      <c r="O400" s="288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7"/>
      <c r="CC400" s="127"/>
      <c r="CD400" s="127"/>
      <c r="CE400" s="127"/>
      <c r="CF400" s="127"/>
      <c r="CG400" s="127"/>
      <c r="CH400" s="127"/>
      <c r="CI400" s="127"/>
      <c r="CJ400" s="127"/>
      <c r="CK400" s="127"/>
      <c r="CL400" s="127"/>
      <c r="CM400" s="127"/>
      <c r="CN400" s="127"/>
      <c r="CO400" s="127"/>
      <c r="CP400" s="127"/>
      <c r="CQ400" s="127"/>
      <c r="CR400" s="127"/>
      <c r="CS400" s="127"/>
      <c r="CT400" s="127"/>
      <c r="CU400" s="127"/>
      <c r="CV400" s="127"/>
      <c r="CW400" s="127"/>
      <c r="CX400" s="127"/>
      <c r="CY400" s="127"/>
      <c r="CZ400" s="127"/>
      <c r="DA400" s="127"/>
      <c r="DB400" s="127"/>
      <c r="DC400" s="127"/>
      <c r="DD400" s="127"/>
      <c r="DE400" s="127"/>
      <c r="DF400" s="127"/>
      <c r="DG400" s="127"/>
      <c r="DH400" s="127"/>
      <c r="DI400" s="127"/>
      <c r="DJ400" s="127"/>
      <c r="DK400" s="127"/>
      <c r="DL400" s="127"/>
      <c r="DM400" s="127"/>
      <c r="DN400" s="127"/>
      <c r="DO400" s="127"/>
      <c r="DP400" s="127"/>
      <c r="DQ400" s="127"/>
      <c r="DR400" s="127"/>
      <c r="DS400" s="127"/>
      <c r="DT400" s="127"/>
      <c r="DU400" s="127"/>
      <c r="DV400" s="127"/>
      <c r="DW400" s="127"/>
      <c r="DX400" s="127"/>
      <c r="DY400" s="127"/>
      <c r="DZ400" s="127"/>
      <c r="EA400" s="127"/>
      <c r="EB400" s="127"/>
      <c r="EC400" s="127"/>
      <c r="ED400" s="127"/>
      <c r="EE400" s="127"/>
      <c r="EF400" s="127"/>
      <c r="EG400" s="127"/>
      <c r="EH400" s="127"/>
      <c r="EI400" s="127"/>
      <c r="EJ400" s="127"/>
      <c r="EK400" s="127"/>
      <c r="EL400" s="127"/>
      <c r="EM400" s="127"/>
      <c r="EN400" s="127"/>
    </row>
    <row r="401" spans="1:145" s="14" customFormat="1" ht="45.75" customHeight="1">
      <c r="A401" s="9"/>
      <c r="B401" s="89"/>
      <c r="C401" s="90"/>
      <c r="D401" s="172"/>
      <c r="E401" s="307"/>
      <c r="F401" s="307"/>
      <c r="G401" s="593"/>
      <c r="H401" s="451"/>
      <c r="I401" s="90" t="s">
        <v>292</v>
      </c>
      <c r="J401" s="91" t="s">
        <v>164</v>
      </c>
      <c r="K401" s="269">
        <v>1</v>
      </c>
      <c r="L401" s="269">
        <v>0</v>
      </c>
      <c r="M401" s="13">
        <f>L401/K401*100</f>
        <v>0</v>
      </c>
      <c r="N401" s="598">
        <f t="shared" si="24"/>
        <v>0</v>
      </c>
      <c r="O401" s="288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7"/>
      <c r="CC401" s="127"/>
      <c r="CD401" s="127"/>
      <c r="CE401" s="127"/>
      <c r="CF401" s="127"/>
      <c r="CG401" s="127"/>
      <c r="CH401" s="127"/>
      <c r="CI401" s="127"/>
      <c r="CJ401" s="127"/>
      <c r="CK401" s="127"/>
      <c r="CL401" s="127"/>
      <c r="CM401" s="127"/>
      <c r="CN401" s="127"/>
      <c r="CO401" s="127"/>
      <c r="CP401" s="127"/>
      <c r="CQ401" s="127"/>
      <c r="CR401" s="127"/>
      <c r="CS401" s="127"/>
      <c r="CT401" s="127"/>
      <c r="CU401" s="127"/>
      <c r="CV401" s="127"/>
      <c r="CW401" s="127"/>
      <c r="CX401" s="127"/>
      <c r="CY401" s="127"/>
      <c r="CZ401" s="127"/>
      <c r="DA401" s="127"/>
      <c r="DB401" s="127"/>
      <c r="DC401" s="127"/>
      <c r="DD401" s="127"/>
      <c r="DE401" s="127"/>
      <c r="DF401" s="127"/>
      <c r="DG401" s="127"/>
      <c r="DH401" s="127"/>
      <c r="DI401" s="127"/>
      <c r="DJ401" s="127"/>
      <c r="DK401" s="127"/>
      <c r="DL401" s="127"/>
      <c r="DM401" s="127"/>
      <c r="DN401" s="127"/>
      <c r="DO401" s="127"/>
      <c r="DP401" s="127"/>
      <c r="DQ401" s="127"/>
      <c r="DR401" s="127"/>
      <c r="DS401" s="127"/>
      <c r="DT401" s="127"/>
      <c r="DU401" s="127"/>
      <c r="DV401" s="127"/>
      <c r="DW401" s="127"/>
      <c r="DX401" s="127"/>
      <c r="DY401" s="127"/>
      <c r="DZ401" s="127"/>
      <c r="EA401" s="127"/>
      <c r="EB401" s="127"/>
      <c r="EC401" s="127"/>
      <c r="ED401" s="127"/>
      <c r="EE401" s="127"/>
      <c r="EF401" s="127"/>
      <c r="EG401" s="127"/>
      <c r="EH401" s="127"/>
      <c r="EI401" s="127"/>
      <c r="EJ401" s="127"/>
      <c r="EK401" s="127"/>
      <c r="EL401" s="127"/>
      <c r="EM401" s="127"/>
      <c r="EN401" s="127"/>
    </row>
    <row r="402" spans="1:145" s="14" customFormat="1" ht="55.5" customHeight="1">
      <c r="A402" s="9"/>
      <c r="B402" s="89"/>
      <c r="C402" s="90"/>
      <c r="D402" s="172"/>
      <c r="E402" s="307"/>
      <c r="F402" s="307"/>
      <c r="G402" s="593"/>
      <c r="H402" s="451"/>
      <c r="I402" s="90" t="s">
        <v>721</v>
      </c>
      <c r="J402" s="91" t="s">
        <v>338</v>
      </c>
      <c r="K402" s="269">
        <v>2</v>
      </c>
      <c r="L402" s="269">
        <v>2</v>
      </c>
      <c r="M402" s="13">
        <v>100</v>
      </c>
      <c r="N402" s="598">
        <f t="shared" si="24"/>
        <v>1</v>
      </c>
      <c r="O402" s="288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7"/>
      <c r="CD402" s="127"/>
      <c r="CE402" s="127"/>
      <c r="CF402" s="127"/>
      <c r="CG402" s="127"/>
      <c r="CH402" s="127"/>
      <c r="CI402" s="127"/>
      <c r="CJ402" s="127"/>
      <c r="CK402" s="127"/>
      <c r="CL402" s="127"/>
      <c r="CM402" s="127"/>
      <c r="CN402" s="127"/>
      <c r="CO402" s="127"/>
      <c r="CP402" s="127"/>
      <c r="CQ402" s="127"/>
      <c r="CR402" s="127"/>
      <c r="CS402" s="127"/>
      <c r="CT402" s="127"/>
      <c r="CU402" s="127"/>
      <c r="CV402" s="127"/>
      <c r="CW402" s="127"/>
      <c r="CX402" s="127"/>
      <c r="CY402" s="127"/>
      <c r="CZ402" s="127"/>
      <c r="DA402" s="127"/>
      <c r="DB402" s="127"/>
      <c r="DC402" s="127"/>
      <c r="DD402" s="127"/>
      <c r="DE402" s="127"/>
      <c r="DF402" s="127"/>
      <c r="DG402" s="127"/>
      <c r="DH402" s="127"/>
      <c r="DI402" s="127"/>
      <c r="DJ402" s="127"/>
      <c r="DK402" s="127"/>
      <c r="DL402" s="127"/>
      <c r="DM402" s="127"/>
      <c r="DN402" s="127"/>
      <c r="DO402" s="127"/>
      <c r="DP402" s="127"/>
      <c r="DQ402" s="127"/>
      <c r="DR402" s="127"/>
      <c r="DS402" s="127"/>
      <c r="DT402" s="127"/>
      <c r="DU402" s="127"/>
      <c r="DV402" s="127"/>
      <c r="DW402" s="127"/>
      <c r="DX402" s="127"/>
      <c r="DY402" s="127"/>
      <c r="DZ402" s="127"/>
      <c r="EA402" s="127"/>
      <c r="EB402" s="127"/>
      <c r="EC402" s="127"/>
      <c r="ED402" s="127"/>
      <c r="EE402" s="127"/>
      <c r="EF402" s="127"/>
      <c r="EG402" s="127"/>
      <c r="EH402" s="127"/>
      <c r="EI402" s="127"/>
      <c r="EJ402" s="127"/>
      <c r="EK402" s="127"/>
      <c r="EL402" s="127"/>
      <c r="EM402" s="127"/>
      <c r="EN402" s="127"/>
    </row>
    <row r="403" spans="1:145" s="14" customFormat="1" ht="59.25" customHeight="1">
      <c r="A403" s="9"/>
      <c r="B403" s="35"/>
      <c r="C403" s="352"/>
      <c r="D403" s="10"/>
      <c r="E403" s="298"/>
      <c r="F403" s="298"/>
      <c r="G403" s="593"/>
      <c r="H403" s="399"/>
      <c r="I403" s="367" t="s">
        <v>722</v>
      </c>
      <c r="J403" s="12" t="s">
        <v>302</v>
      </c>
      <c r="K403" s="698">
        <v>40</v>
      </c>
      <c r="L403" s="698">
        <v>33</v>
      </c>
      <c r="M403" s="13">
        <f>L403/K403*100</f>
        <v>82.5</v>
      </c>
      <c r="N403" s="598">
        <f t="shared" si="24"/>
        <v>0.82499999999999996</v>
      </c>
      <c r="O403" s="289" t="s">
        <v>560</v>
      </c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7"/>
      <c r="CC403" s="127"/>
      <c r="CD403" s="127"/>
      <c r="CE403" s="127"/>
      <c r="CF403" s="127"/>
      <c r="CG403" s="127"/>
      <c r="CH403" s="127"/>
      <c r="CI403" s="127"/>
      <c r="CJ403" s="127"/>
      <c r="CK403" s="127"/>
      <c r="CL403" s="127"/>
      <c r="CM403" s="127"/>
      <c r="CN403" s="127"/>
      <c r="CO403" s="127"/>
      <c r="CP403" s="127"/>
      <c r="CQ403" s="127"/>
      <c r="CR403" s="127"/>
      <c r="CS403" s="127"/>
      <c r="CT403" s="127"/>
      <c r="CU403" s="127"/>
      <c r="CV403" s="127"/>
      <c r="CW403" s="127"/>
      <c r="CX403" s="127"/>
      <c r="CY403" s="127"/>
      <c r="CZ403" s="127"/>
      <c r="DA403" s="127"/>
      <c r="DB403" s="127"/>
      <c r="DC403" s="127"/>
      <c r="DD403" s="127"/>
      <c r="DE403" s="127"/>
      <c r="DF403" s="127"/>
      <c r="DG403" s="127"/>
      <c r="DH403" s="127"/>
      <c r="DI403" s="127"/>
      <c r="DJ403" s="127"/>
      <c r="DK403" s="127"/>
      <c r="DL403" s="127"/>
      <c r="DM403" s="127"/>
      <c r="DN403" s="127"/>
      <c r="DO403" s="127"/>
      <c r="DP403" s="127"/>
      <c r="DQ403" s="127"/>
      <c r="DR403" s="127"/>
      <c r="DS403" s="127"/>
      <c r="DT403" s="127"/>
      <c r="DU403" s="127"/>
      <c r="DV403" s="127"/>
      <c r="DW403" s="127"/>
      <c r="DX403" s="127"/>
      <c r="DY403" s="127"/>
      <c r="DZ403" s="127"/>
      <c r="EA403" s="127"/>
      <c r="EB403" s="127"/>
      <c r="EC403" s="127"/>
      <c r="ED403" s="127"/>
      <c r="EE403" s="127"/>
      <c r="EF403" s="127"/>
      <c r="EG403" s="127"/>
      <c r="EH403" s="127"/>
      <c r="EI403" s="127"/>
      <c r="EJ403" s="127"/>
      <c r="EK403" s="127"/>
      <c r="EL403" s="127"/>
      <c r="EM403" s="127"/>
      <c r="EN403" s="127"/>
    </row>
    <row r="404" spans="1:145" s="14" customFormat="1" ht="59.25" customHeight="1">
      <c r="A404" s="9"/>
      <c r="B404" s="89"/>
      <c r="C404" s="367"/>
      <c r="D404" s="10"/>
      <c r="E404" s="298"/>
      <c r="F404" s="298"/>
      <c r="G404" s="691"/>
      <c r="H404" s="399"/>
      <c r="I404" s="367" t="s">
        <v>724</v>
      </c>
      <c r="J404" s="12" t="s">
        <v>364</v>
      </c>
      <c r="K404" s="698">
        <v>84</v>
      </c>
      <c r="L404" s="698">
        <v>82</v>
      </c>
      <c r="M404" s="13">
        <f t="shared" ref="M404:M405" si="25">L404/K404*100</f>
        <v>97.61904761904762</v>
      </c>
      <c r="N404" s="598">
        <f t="shared" si="24"/>
        <v>0.97619047619047616</v>
      </c>
      <c r="O404" s="289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7"/>
      <c r="CC404" s="127"/>
      <c r="CD404" s="127"/>
      <c r="CE404" s="127"/>
      <c r="CF404" s="127"/>
      <c r="CG404" s="127"/>
      <c r="CH404" s="127"/>
      <c r="CI404" s="127"/>
      <c r="CJ404" s="127"/>
      <c r="CK404" s="127"/>
      <c r="CL404" s="127"/>
      <c r="CM404" s="127"/>
      <c r="CN404" s="127"/>
      <c r="CO404" s="127"/>
      <c r="CP404" s="127"/>
      <c r="CQ404" s="127"/>
      <c r="CR404" s="127"/>
      <c r="CS404" s="127"/>
      <c r="CT404" s="127"/>
      <c r="CU404" s="127"/>
      <c r="CV404" s="127"/>
      <c r="CW404" s="127"/>
      <c r="CX404" s="127"/>
      <c r="CY404" s="127"/>
      <c r="CZ404" s="127"/>
      <c r="DA404" s="127"/>
      <c r="DB404" s="127"/>
      <c r="DC404" s="127"/>
      <c r="DD404" s="127"/>
      <c r="DE404" s="127"/>
      <c r="DF404" s="127"/>
      <c r="DG404" s="127"/>
      <c r="DH404" s="127"/>
      <c r="DI404" s="127"/>
      <c r="DJ404" s="127"/>
      <c r="DK404" s="127"/>
      <c r="DL404" s="127"/>
      <c r="DM404" s="127"/>
      <c r="DN404" s="127"/>
      <c r="DO404" s="127"/>
      <c r="DP404" s="127"/>
      <c r="DQ404" s="127"/>
      <c r="DR404" s="127"/>
      <c r="DS404" s="127"/>
      <c r="DT404" s="127"/>
      <c r="DU404" s="127"/>
      <c r="DV404" s="127"/>
      <c r="DW404" s="127"/>
      <c r="DX404" s="127"/>
      <c r="DY404" s="127"/>
      <c r="DZ404" s="127"/>
      <c r="EA404" s="127"/>
      <c r="EB404" s="127"/>
      <c r="EC404" s="127"/>
      <c r="ED404" s="127"/>
      <c r="EE404" s="127"/>
      <c r="EF404" s="127"/>
      <c r="EG404" s="127"/>
      <c r="EH404" s="127"/>
      <c r="EI404" s="127"/>
      <c r="EJ404" s="127"/>
      <c r="EK404" s="127"/>
      <c r="EL404" s="127"/>
      <c r="EM404" s="127"/>
      <c r="EN404" s="127"/>
    </row>
    <row r="405" spans="1:145" s="14" customFormat="1" ht="43.5" customHeight="1">
      <c r="A405" s="9"/>
      <c r="B405" s="89"/>
      <c r="C405" s="225"/>
      <c r="D405" s="10"/>
      <c r="E405" s="298"/>
      <c r="F405" s="298"/>
      <c r="G405" s="366"/>
      <c r="H405" s="450"/>
      <c r="I405" s="367" t="s">
        <v>723</v>
      </c>
      <c r="J405" s="12" t="s">
        <v>559</v>
      </c>
      <c r="K405" s="257">
        <v>120</v>
      </c>
      <c r="L405" s="257">
        <v>0</v>
      </c>
      <c r="M405" s="13">
        <f t="shared" si="25"/>
        <v>0</v>
      </c>
      <c r="N405" s="598">
        <f t="shared" si="24"/>
        <v>0</v>
      </c>
      <c r="O405" s="288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7"/>
      <c r="CC405" s="127"/>
      <c r="CD405" s="127"/>
      <c r="CE405" s="127"/>
      <c r="CF405" s="127"/>
      <c r="CG405" s="127"/>
      <c r="CH405" s="127"/>
      <c r="CI405" s="127"/>
      <c r="CJ405" s="127"/>
      <c r="CK405" s="127"/>
      <c r="CL405" s="127"/>
      <c r="CM405" s="127"/>
      <c r="CN405" s="127"/>
      <c r="CO405" s="127"/>
      <c r="CP405" s="127"/>
      <c r="CQ405" s="127"/>
      <c r="CR405" s="127"/>
      <c r="CS405" s="127"/>
      <c r="CT405" s="127"/>
      <c r="CU405" s="127"/>
      <c r="CV405" s="127"/>
      <c r="CW405" s="127"/>
      <c r="CX405" s="127"/>
      <c r="CY405" s="127"/>
      <c r="CZ405" s="127"/>
      <c r="DA405" s="127"/>
      <c r="DB405" s="127"/>
      <c r="DC405" s="127"/>
      <c r="DD405" s="127"/>
      <c r="DE405" s="127"/>
      <c r="DF405" s="127"/>
      <c r="DG405" s="127"/>
      <c r="DH405" s="127"/>
      <c r="DI405" s="127"/>
      <c r="DJ405" s="127"/>
      <c r="DK405" s="127"/>
      <c r="DL405" s="127"/>
      <c r="DM405" s="127"/>
      <c r="DN405" s="127"/>
      <c r="DO405" s="127"/>
      <c r="DP405" s="127"/>
      <c r="DQ405" s="127"/>
      <c r="DR405" s="127"/>
      <c r="DS405" s="127"/>
      <c r="DT405" s="127"/>
      <c r="DU405" s="127"/>
      <c r="DV405" s="127"/>
      <c r="DW405" s="127"/>
      <c r="DX405" s="127"/>
      <c r="DY405" s="127"/>
      <c r="DZ405" s="127"/>
      <c r="EA405" s="127"/>
      <c r="EB405" s="127"/>
      <c r="EC405" s="127"/>
      <c r="ED405" s="127"/>
      <c r="EE405" s="127"/>
      <c r="EF405" s="127"/>
      <c r="EG405" s="127"/>
      <c r="EH405" s="127"/>
      <c r="EI405" s="127"/>
      <c r="EJ405" s="127"/>
      <c r="EK405" s="127"/>
      <c r="EL405" s="127"/>
      <c r="EM405" s="127"/>
      <c r="EN405" s="127"/>
    </row>
    <row r="406" spans="1:145" s="77" customFormat="1" ht="30.75" customHeight="1">
      <c r="B406" s="75"/>
      <c r="C406" s="70" t="s">
        <v>300</v>
      </c>
      <c r="D406" s="75"/>
      <c r="E406" s="301">
        <f>E398+E399+E400</f>
        <v>2940414</v>
      </c>
      <c r="F406" s="301">
        <f>F398+F399+F401+F402+F403+F400</f>
        <v>2940281.6799999997</v>
      </c>
      <c r="G406" s="482">
        <f>F406/E406*100</f>
        <v>99.995499953407901</v>
      </c>
      <c r="H406" s="456">
        <v>1</v>
      </c>
      <c r="I406" s="61"/>
      <c r="J406" s="61"/>
      <c r="K406" s="285"/>
      <c r="L406" s="285"/>
      <c r="M406" s="536">
        <f>(M398+M399+M400+M401+M402+M403+M404+M405)/8</f>
        <v>75.255855754513078</v>
      </c>
      <c r="N406" s="248">
        <f t="shared" si="24"/>
        <v>0.75255855754513079</v>
      </c>
      <c r="O406" s="288"/>
      <c r="P406" s="392"/>
      <c r="Q406" s="392"/>
      <c r="R406" s="392"/>
      <c r="S406" s="392"/>
      <c r="T406" s="392"/>
      <c r="U406" s="392"/>
      <c r="V406" s="392"/>
      <c r="W406" s="392"/>
      <c r="X406" s="355"/>
      <c r="Y406" s="355"/>
      <c r="Z406" s="355"/>
      <c r="AA406" s="355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7"/>
      <c r="CD406" s="127"/>
      <c r="CE406" s="127"/>
      <c r="CF406" s="127"/>
      <c r="CG406" s="127"/>
      <c r="CH406" s="127"/>
      <c r="CI406" s="127"/>
      <c r="CJ406" s="127"/>
      <c r="CK406" s="127"/>
      <c r="CL406" s="127"/>
      <c r="CM406" s="127"/>
      <c r="CN406" s="127"/>
      <c r="CO406" s="127"/>
      <c r="CP406" s="127"/>
      <c r="CQ406" s="127"/>
      <c r="CR406" s="127"/>
      <c r="CS406" s="127"/>
      <c r="CT406" s="127"/>
      <c r="CU406" s="127"/>
      <c r="CV406" s="127"/>
      <c r="CW406" s="127"/>
      <c r="CX406" s="127"/>
      <c r="CY406" s="127"/>
      <c r="CZ406" s="127"/>
      <c r="DA406" s="127"/>
      <c r="DB406" s="127"/>
      <c r="DC406" s="127"/>
      <c r="DD406" s="127"/>
      <c r="DE406" s="127"/>
      <c r="DF406" s="127"/>
      <c r="DG406" s="127"/>
      <c r="DH406" s="127"/>
      <c r="DI406" s="127"/>
      <c r="DJ406" s="127"/>
      <c r="DK406" s="127"/>
      <c r="DL406" s="127"/>
      <c r="DM406" s="127"/>
      <c r="DN406" s="127"/>
      <c r="DO406" s="127"/>
      <c r="DP406" s="127"/>
      <c r="DQ406" s="127"/>
      <c r="DR406" s="127"/>
      <c r="DS406" s="127"/>
      <c r="DT406" s="127"/>
      <c r="DU406" s="127"/>
      <c r="DV406" s="127"/>
      <c r="DW406" s="127"/>
      <c r="DX406" s="127"/>
      <c r="DY406" s="127"/>
      <c r="DZ406" s="127"/>
      <c r="EA406" s="127"/>
      <c r="EB406" s="127"/>
      <c r="EC406" s="127"/>
      <c r="ED406" s="127"/>
      <c r="EE406" s="127"/>
      <c r="EF406" s="127"/>
      <c r="EG406" s="127"/>
      <c r="EH406" s="127"/>
      <c r="EI406" s="127"/>
      <c r="EJ406" s="127"/>
      <c r="EK406" s="127"/>
      <c r="EL406" s="127"/>
      <c r="EM406" s="127"/>
      <c r="EN406" s="127"/>
      <c r="EO406" s="234"/>
    </row>
    <row r="407" spans="1:145" s="191" customFormat="1" ht="42.75" customHeight="1">
      <c r="A407" s="190"/>
      <c r="B407" s="360" t="s">
        <v>461</v>
      </c>
      <c r="C407" s="796" t="s">
        <v>293</v>
      </c>
      <c r="D407" s="797"/>
      <c r="E407" s="797"/>
      <c r="F407" s="797"/>
      <c r="G407" s="797"/>
      <c r="H407" s="797"/>
      <c r="I407" s="797"/>
      <c r="J407" s="797"/>
      <c r="K407" s="797"/>
      <c r="L407" s="797"/>
      <c r="M407" s="797"/>
      <c r="N407" s="798"/>
      <c r="O407" s="295"/>
      <c r="P407" s="382"/>
      <c r="Q407" s="382"/>
      <c r="R407" s="382"/>
      <c r="S407" s="382"/>
      <c r="T407" s="382"/>
      <c r="U407" s="382"/>
      <c r="V407" s="382"/>
      <c r="W407" s="382"/>
      <c r="X407" s="392"/>
      <c r="Y407" s="392"/>
      <c r="Z407" s="392"/>
      <c r="AA407" s="392"/>
      <c r="AB407" s="241"/>
      <c r="AC407" s="241"/>
      <c r="AD407" s="241"/>
      <c r="AE407" s="241"/>
      <c r="AF407" s="241"/>
      <c r="AG407" s="241"/>
      <c r="AH407" s="241"/>
      <c r="AI407" s="241"/>
      <c r="AJ407" s="241"/>
      <c r="AK407" s="241"/>
      <c r="AL407" s="241"/>
      <c r="AM407" s="241"/>
      <c r="AN407" s="241"/>
      <c r="AO407" s="241"/>
      <c r="AP407" s="241"/>
      <c r="AQ407" s="241"/>
      <c r="AR407" s="241"/>
      <c r="AS407" s="241"/>
      <c r="AT407" s="241"/>
      <c r="AU407" s="241"/>
      <c r="AV407" s="241"/>
      <c r="AW407" s="241"/>
      <c r="AX407" s="241"/>
      <c r="AY407" s="241"/>
      <c r="AZ407" s="241"/>
      <c r="BA407" s="241"/>
      <c r="BB407" s="241"/>
      <c r="BC407" s="241"/>
      <c r="BD407" s="241"/>
      <c r="BE407" s="241"/>
      <c r="BF407" s="241"/>
      <c r="BG407" s="241"/>
      <c r="BH407" s="241"/>
      <c r="BI407" s="241"/>
      <c r="BJ407" s="241"/>
      <c r="BK407" s="241"/>
      <c r="BL407" s="241"/>
      <c r="BM407" s="241"/>
      <c r="BN407" s="241"/>
      <c r="BO407" s="241"/>
      <c r="BP407" s="241"/>
      <c r="BQ407" s="241"/>
      <c r="BR407" s="241"/>
      <c r="BS407" s="241"/>
      <c r="BT407" s="241"/>
      <c r="BU407" s="241"/>
      <c r="BV407" s="241"/>
      <c r="BW407" s="241"/>
      <c r="BX407" s="241"/>
      <c r="BY407" s="241"/>
      <c r="BZ407" s="241"/>
      <c r="CA407" s="241"/>
      <c r="CB407" s="241"/>
      <c r="CC407" s="241"/>
      <c r="CD407" s="241"/>
      <c r="CE407" s="241"/>
      <c r="CF407" s="241"/>
      <c r="CG407" s="241"/>
      <c r="CH407" s="241"/>
      <c r="CI407" s="241"/>
      <c r="CJ407" s="241"/>
      <c r="CK407" s="241"/>
      <c r="CL407" s="241"/>
      <c r="CM407" s="241"/>
      <c r="CN407" s="241"/>
      <c r="CO407" s="241"/>
      <c r="CP407" s="241"/>
      <c r="CQ407" s="241"/>
      <c r="CR407" s="241"/>
      <c r="CS407" s="241"/>
      <c r="CT407" s="241"/>
      <c r="CU407" s="241"/>
      <c r="CV407" s="241"/>
      <c r="CW407" s="241"/>
      <c r="CX407" s="241"/>
      <c r="CY407" s="241"/>
      <c r="CZ407" s="241"/>
      <c r="DA407" s="241"/>
      <c r="DB407" s="241"/>
      <c r="DC407" s="241"/>
      <c r="DD407" s="241"/>
      <c r="DE407" s="241"/>
      <c r="DF407" s="241"/>
      <c r="DG407" s="241"/>
      <c r="DH407" s="241"/>
      <c r="DI407" s="241"/>
      <c r="DJ407" s="241"/>
      <c r="DK407" s="241"/>
      <c r="DL407" s="241"/>
      <c r="DM407" s="241"/>
      <c r="DN407" s="241"/>
      <c r="DO407" s="241"/>
      <c r="DP407" s="241"/>
      <c r="DQ407" s="241"/>
      <c r="DR407" s="241"/>
      <c r="DS407" s="241"/>
      <c r="DT407" s="241"/>
      <c r="DU407" s="241"/>
      <c r="DV407" s="241"/>
      <c r="DW407" s="241"/>
      <c r="DX407" s="241"/>
      <c r="DY407" s="241"/>
      <c r="DZ407" s="241"/>
      <c r="EA407" s="241"/>
      <c r="EB407" s="241"/>
      <c r="EC407" s="241"/>
      <c r="ED407" s="241"/>
      <c r="EE407" s="241"/>
      <c r="EF407" s="241"/>
      <c r="EG407" s="241"/>
      <c r="EH407" s="241"/>
      <c r="EI407" s="241"/>
      <c r="EJ407" s="241"/>
      <c r="EK407" s="241"/>
      <c r="EL407" s="241"/>
      <c r="EM407" s="241"/>
      <c r="EN407" s="241"/>
    </row>
    <row r="408" spans="1:145" ht="42.75" customHeight="1">
      <c r="A408" s="7"/>
      <c r="B408" s="8"/>
      <c r="C408" s="785" t="s">
        <v>294</v>
      </c>
      <c r="D408" s="786"/>
      <c r="E408" s="786"/>
      <c r="F408" s="786"/>
      <c r="G408" s="786"/>
      <c r="H408" s="786"/>
      <c r="I408" s="786"/>
      <c r="J408" s="786"/>
      <c r="K408" s="786"/>
      <c r="L408" s="786"/>
      <c r="M408" s="786"/>
      <c r="N408" s="787"/>
    </row>
    <row r="409" spans="1:145" ht="30" customHeight="1">
      <c r="A409" s="7"/>
      <c r="B409" s="8"/>
      <c r="C409" s="785" t="s">
        <v>295</v>
      </c>
      <c r="D409" s="786"/>
      <c r="E409" s="786"/>
      <c r="F409" s="786"/>
      <c r="G409" s="786"/>
      <c r="H409" s="786"/>
      <c r="I409" s="786"/>
      <c r="J409" s="786"/>
      <c r="K409" s="786"/>
      <c r="L409" s="786"/>
      <c r="M409" s="786"/>
      <c r="N409" s="787"/>
    </row>
    <row r="410" spans="1:145" ht="30.75" customHeight="1">
      <c r="A410" s="7"/>
      <c r="B410" s="8"/>
      <c r="C410" s="785" t="s">
        <v>296</v>
      </c>
      <c r="D410" s="786"/>
      <c r="E410" s="786"/>
      <c r="F410" s="786"/>
      <c r="G410" s="786"/>
      <c r="H410" s="786"/>
      <c r="I410" s="786"/>
      <c r="J410" s="786"/>
      <c r="K410" s="786"/>
      <c r="L410" s="786"/>
      <c r="M410" s="786"/>
      <c r="N410" s="787"/>
    </row>
    <row r="411" spans="1:145" ht="30.75" customHeight="1">
      <c r="A411" s="7"/>
      <c r="B411" s="8"/>
      <c r="C411" s="785" t="s">
        <v>297</v>
      </c>
      <c r="D411" s="786"/>
      <c r="E411" s="786"/>
      <c r="F411" s="786"/>
      <c r="G411" s="786"/>
      <c r="H411" s="786"/>
      <c r="I411" s="786"/>
      <c r="J411" s="786"/>
      <c r="K411" s="786"/>
      <c r="L411" s="786"/>
      <c r="M411" s="786"/>
      <c r="N411" s="787"/>
    </row>
    <row r="412" spans="1:145" ht="33" customHeight="1">
      <c r="A412" s="7"/>
      <c r="B412" s="8"/>
      <c r="C412" s="785" t="s">
        <v>298</v>
      </c>
      <c r="D412" s="786"/>
      <c r="E412" s="786"/>
      <c r="F412" s="786"/>
      <c r="G412" s="786"/>
      <c r="H412" s="786"/>
      <c r="I412" s="786"/>
      <c r="J412" s="786"/>
      <c r="K412" s="786"/>
      <c r="L412" s="786"/>
      <c r="M412" s="786"/>
      <c r="N412" s="787"/>
    </row>
    <row r="413" spans="1:145" ht="51" customHeight="1">
      <c r="A413" s="7"/>
      <c r="B413" s="8" t="s">
        <v>462</v>
      </c>
      <c r="C413" s="44" t="s">
        <v>717</v>
      </c>
      <c r="D413" s="207" t="s">
        <v>362</v>
      </c>
      <c r="E413" s="304">
        <f>3157894.74</f>
        <v>3157894.74</v>
      </c>
      <c r="F413" s="304">
        <f>3157894.74</f>
        <v>3157894.74</v>
      </c>
      <c r="G413" s="366">
        <f>F413/E413*100</f>
        <v>100</v>
      </c>
      <c r="H413" s="399">
        <f>G413/100</f>
        <v>1</v>
      </c>
      <c r="I413" s="11" t="s">
        <v>299</v>
      </c>
      <c r="J413" s="12" t="s">
        <v>23</v>
      </c>
      <c r="K413" s="257">
        <v>2</v>
      </c>
      <c r="L413" s="257">
        <v>5</v>
      </c>
      <c r="M413" s="13">
        <f>L413/K413*100</f>
        <v>250</v>
      </c>
      <c r="N413" s="252">
        <f>M413/100</f>
        <v>2.5</v>
      </c>
    </row>
    <row r="414" spans="1:145" ht="43.5" customHeight="1">
      <c r="A414" s="7"/>
      <c r="B414" s="35" t="s">
        <v>463</v>
      </c>
      <c r="C414" s="367" t="s">
        <v>718</v>
      </c>
      <c r="D414" s="10"/>
      <c r="E414" s="304">
        <f>394189.57</f>
        <v>394189.57</v>
      </c>
      <c r="F414" s="304">
        <f>300000</f>
        <v>300000</v>
      </c>
      <c r="G414" s="691">
        <f t="shared" ref="G414:G415" si="26">F414/E414*100</f>
        <v>76.10551441023668</v>
      </c>
      <c r="H414" s="399">
        <f t="shared" ref="H414:H415" si="27">G414/100</f>
        <v>0.76105514410236674</v>
      </c>
      <c r="I414" s="352" t="s">
        <v>345</v>
      </c>
      <c r="J414" s="12" t="s">
        <v>302</v>
      </c>
      <c r="K414" s="257">
        <v>5</v>
      </c>
      <c r="L414" s="257">
        <v>11</v>
      </c>
      <c r="M414" s="13">
        <f t="shared" ref="M414:M415" si="28">L414/K414*100</f>
        <v>220.00000000000003</v>
      </c>
      <c r="N414" s="252">
        <f t="shared" ref="N414:N416" si="29">M414/100</f>
        <v>2.2000000000000002</v>
      </c>
      <c r="P414" s="355"/>
      <c r="Q414" s="355"/>
      <c r="R414" s="355"/>
      <c r="S414" s="355"/>
      <c r="T414" s="355"/>
      <c r="U414" s="355"/>
      <c r="V414" s="355"/>
      <c r="W414" s="355"/>
    </row>
    <row r="415" spans="1:145" s="14" customFormat="1" ht="46.5" customHeight="1">
      <c r="A415" s="9"/>
      <c r="B415" s="8" t="s">
        <v>720</v>
      </c>
      <c r="C415" s="697" t="s">
        <v>719</v>
      </c>
      <c r="D415" s="415"/>
      <c r="E415" s="304">
        <f>1059400</f>
        <v>1059400</v>
      </c>
      <c r="F415" s="304">
        <f>1051130</f>
        <v>1051130</v>
      </c>
      <c r="G415" s="691">
        <f t="shared" si="26"/>
        <v>99.219369454408152</v>
      </c>
      <c r="H415" s="399">
        <f t="shared" si="27"/>
        <v>0.99219369454408157</v>
      </c>
      <c r="I415" s="90" t="s">
        <v>301</v>
      </c>
      <c r="J415" s="91" t="s">
        <v>302</v>
      </c>
      <c r="K415" s="269">
        <v>5</v>
      </c>
      <c r="L415" s="269">
        <v>3</v>
      </c>
      <c r="M415" s="13">
        <f t="shared" si="28"/>
        <v>60</v>
      </c>
      <c r="N415" s="252">
        <f t="shared" si="29"/>
        <v>0.6</v>
      </c>
      <c r="O415" s="288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7"/>
      <c r="CD415" s="127"/>
      <c r="CE415" s="127"/>
      <c r="CF415" s="127"/>
      <c r="CG415" s="127"/>
      <c r="CH415" s="127"/>
      <c r="CI415" s="127"/>
      <c r="CJ415" s="127"/>
      <c r="CK415" s="127"/>
      <c r="CL415" s="127"/>
      <c r="CM415" s="127"/>
      <c r="CN415" s="127"/>
      <c r="CO415" s="127"/>
      <c r="CP415" s="127"/>
      <c r="CQ415" s="127"/>
      <c r="CR415" s="127"/>
      <c r="CS415" s="127"/>
      <c r="CT415" s="127"/>
      <c r="CU415" s="127"/>
      <c r="CV415" s="127"/>
      <c r="CW415" s="127"/>
      <c r="CX415" s="127"/>
      <c r="CY415" s="127"/>
      <c r="CZ415" s="127"/>
      <c r="DA415" s="127"/>
      <c r="DB415" s="127"/>
      <c r="DC415" s="127"/>
      <c r="DD415" s="127"/>
      <c r="DE415" s="127"/>
      <c r="DF415" s="127"/>
      <c r="DG415" s="127"/>
      <c r="DH415" s="127"/>
      <c r="DI415" s="127"/>
      <c r="DJ415" s="127"/>
      <c r="DK415" s="127"/>
      <c r="DL415" s="127"/>
      <c r="DM415" s="127"/>
      <c r="DN415" s="127"/>
      <c r="DO415" s="127"/>
      <c r="DP415" s="127"/>
      <c r="DQ415" s="127"/>
      <c r="DR415" s="127"/>
      <c r="DS415" s="127"/>
      <c r="DT415" s="127"/>
      <c r="DU415" s="127"/>
      <c r="DV415" s="127"/>
      <c r="DW415" s="127"/>
      <c r="DX415" s="127"/>
      <c r="DY415" s="127"/>
      <c r="DZ415" s="127"/>
      <c r="EA415" s="127"/>
      <c r="EB415" s="127"/>
      <c r="EC415" s="127"/>
      <c r="ED415" s="127"/>
      <c r="EE415" s="127"/>
      <c r="EF415" s="127"/>
      <c r="EG415" s="127"/>
      <c r="EH415" s="127"/>
      <c r="EI415" s="127"/>
      <c r="EJ415" s="127"/>
      <c r="EK415" s="127"/>
      <c r="EL415" s="127"/>
      <c r="EM415" s="127"/>
      <c r="EN415" s="127"/>
    </row>
    <row r="416" spans="1:145" s="77" customFormat="1" ht="27.75" customHeight="1">
      <c r="C416" s="185" t="s">
        <v>24</v>
      </c>
      <c r="D416" s="416"/>
      <c r="E416" s="318">
        <f>SUM(E413:E415)</f>
        <v>4611484.3100000005</v>
      </c>
      <c r="F416" s="318">
        <f>SUM(F413:F415)</f>
        <v>4509024.74</v>
      </c>
      <c r="G416" s="535">
        <f>(G413+G414+G415)/3</f>
        <v>91.774961288214953</v>
      </c>
      <c r="H416" s="535">
        <f>(H413+H414+H415)/3</f>
        <v>0.91774961288214951</v>
      </c>
      <c r="K416" s="262"/>
      <c r="L416" s="262"/>
      <c r="M416" s="595">
        <f>(M413+M414+M415)/3</f>
        <v>176.66666666666666</v>
      </c>
      <c r="N416" s="699">
        <f t="shared" si="29"/>
        <v>1.7666666666666666</v>
      </c>
      <c r="O416" s="288"/>
      <c r="P416" s="58"/>
      <c r="Q416" s="58"/>
      <c r="R416" s="58"/>
      <c r="S416" s="58"/>
      <c r="T416" s="58"/>
      <c r="U416" s="58"/>
      <c r="V416" s="58"/>
      <c r="W416" s="58"/>
      <c r="X416" s="355"/>
      <c r="Y416" s="355"/>
      <c r="Z416" s="355"/>
      <c r="AA416" s="355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7"/>
      <c r="CD416" s="127"/>
      <c r="CE416" s="127"/>
      <c r="CF416" s="127"/>
      <c r="CG416" s="127"/>
      <c r="CH416" s="127"/>
      <c r="CI416" s="127"/>
      <c r="CJ416" s="127"/>
      <c r="CK416" s="127"/>
      <c r="CL416" s="127"/>
      <c r="CM416" s="127"/>
      <c r="CN416" s="127"/>
      <c r="CO416" s="127"/>
      <c r="CP416" s="127"/>
      <c r="CQ416" s="127"/>
      <c r="CR416" s="127"/>
      <c r="CS416" s="127"/>
      <c r="CT416" s="127"/>
      <c r="CU416" s="127"/>
      <c r="CV416" s="127"/>
      <c r="CW416" s="127"/>
      <c r="CX416" s="127"/>
      <c r="CY416" s="127"/>
      <c r="CZ416" s="127"/>
      <c r="DA416" s="127"/>
      <c r="DB416" s="127"/>
      <c r="DC416" s="127"/>
      <c r="DD416" s="127"/>
      <c r="DE416" s="127"/>
      <c r="DF416" s="127"/>
      <c r="DG416" s="127"/>
      <c r="DH416" s="127"/>
      <c r="DI416" s="127"/>
      <c r="DJ416" s="127"/>
      <c r="DK416" s="127"/>
      <c r="DL416" s="127"/>
      <c r="DM416" s="127"/>
      <c r="DN416" s="127"/>
      <c r="DO416" s="127"/>
      <c r="DP416" s="127"/>
      <c r="DQ416" s="127"/>
      <c r="DR416" s="127"/>
      <c r="DS416" s="127"/>
      <c r="DT416" s="127"/>
      <c r="DU416" s="127"/>
      <c r="DV416" s="127"/>
      <c r="DW416" s="127"/>
      <c r="DX416" s="127"/>
      <c r="DY416" s="127"/>
      <c r="DZ416" s="127"/>
      <c r="EA416" s="127"/>
      <c r="EB416" s="127"/>
      <c r="EC416" s="127"/>
      <c r="ED416" s="127"/>
      <c r="EE416" s="127"/>
      <c r="EF416" s="127"/>
      <c r="EG416" s="127"/>
      <c r="EH416" s="127"/>
      <c r="EI416" s="127"/>
      <c r="EJ416" s="127"/>
      <c r="EK416" s="127"/>
      <c r="EL416" s="127"/>
      <c r="EM416" s="127"/>
      <c r="EN416" s="127"/>
      <c r="EO416" s="234"/>
    </row>
    <row r="417" spans="1:144" s="572" customFormat="1" ht="48.75" customHeight="1">
      <c r="A417" s="572" t="e">
        <f>F417/F464*100</f>
        <v>#DIV/0!</v>
      </c>
      <c r="B417" s="488"/>
      <c r="C417" s="574" t="s">
        <v>570</v>
      </c>
      <c r="D417" s="575"/>
      <c r="E417" s="576">
        <f>E416+E406</f>
        <v>7551898.3100000005</v>
      </c>
      <c r="F417" s="576">
        <f>F416+F406</f>
        <v>7449306.4199999999</v>
      </c>
      <c r="G417" s="499">
        <f>(F417/E417)*100</f>
        <v>98.641508587792401</v>
      </c>
      <c r="H417" s="623">
        <v>0.97</v>
      </c>
      <c r="I417" s="814" t="s">
        <v>529</v>
      </c>
      <c r="J417" s="815"/>
      <c r="K417" s="815"/>
      <c r="L417" s="815"/>
      <c r="M417" s="578">
        <f>(M406+M416)/2</f>
        <v>125.96126121058987</v>
      </c>
      <c r="N417" s="577">
        <f>M417/100</f>
        <v>1.2596126121058986</v>
      </c>
      <c r="O417" s="491"/>
      <c r="P417" s="388"/>
      <c r="Q417" s="388"/>
      <c r="R417" s="388"/>
      <c r="S417" s="388"/>
      <c r="T417" s="388"/>
      <c r="U417" s="388"/>
      <c r="V417" s="388"/>
      <c r="W417" s="388"/>
      <c r="X417" s="388"/>
      <c r="Y417" s="388"/>
      <c r="Z417" s="388"/>
      <c r="AA417" s="38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  <c r="AO417" s="238"/>
      <c r="AP417" s="238"/>
      <c r="AQ417" s="238"/>
      <c r="AR417" s="238"/>
      <c r="AS417" s="238"/>
      <c r="AT417" s="238"/>
      <c r="AU417" s="238"/>
      <c r="AV417" s="238"/>
      <c r="AW417" s="238"/>
      <c r="AX417" s="238"/>
      <c r="AY417" s="238"/>
      <c r="AZ417" s="238"/>
      <c r="BA417" s="238"/>
      <c r="BB417" s="238"/>
      <c r="BC417" s="238"/>
      <c r="BD417" s="238"/>
      <c r="BE417" s="238"/>
      <c r="BF417" s="238"/>
      <c r="BG417" s="238"/>
      <c r="BH417" s="238"/>
      <c r="BI417" s="238"/>
      <c r="BJ417" s="238"/>
      <c r="BK417" s="238"/>
      <c r="BL417" s="238"/>
      <c r="BM417" s="238"/>
      <c r="BN417" s="238"/>
      <c r="BO417" s="238"/>
      <c r="BP417" s="238"/>
      <c r="BQ417" s="238"/>
      <c r="BR417" s="238"/>
      <c r="BS417" s="238"/>
      <c r="BT417" s="238"/>
      <c r="BU417" s="238"/>
      <c r="BV417" s="238"/>
      <c r="BW417" s="238"/>
      <c r="BX417" s="238"/>
      <c r="BY417" s="238"/>
      <c r="BZ417" s="238"/>
      <c r="CA417" s="238"/>
      <c r="CB417" s="238"/>
      <c r="CC417" s="238"/>
      <c r="CD417" s="238"/>
      <c r="CE417" s="238"/>
      <c r="CF417" s="238"/>
      <c r="CG417" s="238"/>
      <c r="CH417" s="238"/>
      <c r="CI417" s="238"/>
      <c r="CJ417" s="238"/>
      <c r="CK417" s="238"/>
      <c r="CL417" s="238"/>
      <c r="CM417" s="238"/>
      <c r="CN417" s="238"/>
      <c r="CO417" s="238"/>
      <c r="CP417" s="238"/>
      <c r="CQ417" s="238"/>
      <c r="CR417" s="238"/>
      <c r="CS417" s="238"/>
      <c r="CT417" s="238"/>
      <c r="CU417" s="238"/>
      <c r="CV417" s="238"/>
      <c r="CW417" s="238"/>
      <c r="CX417" s="238"/>
      <c r="CY417" s="238"/>
      <c r="CZ417" s="238"/>
      <c r="DA417" s="238"/>
      <c r="DB417" s="238"/>
      <c r="DC417" s="238"/>
      <c r="DD417" s="238"/>
      <c r="DE417" s="238"/>
      <c r="DF417" s="238"/>
      <c r="DG417" s="238"/>
      <c r="DH417" s="238"/>
      <c r="DI417" s="238"/>
      <c r="DJ417" s="238"/>
      <c r="DK417" s="238"/>
      <c r="DL417" s="238"/>
      <c r="DM417" s="238"/>
      <c r="DN417" s="238"/>
      <c r="DO417" s="238"/>
      <c r="DP417" s="238"/>
      <c r="DQ417" s="238"/>
      <c r="DR417" s="238"/>
      <c r="DS417" s="238"/>
      <c r="DT417" s="238"/>
      <c r="DU417" s="238"/>
      <c r="DV417" s="238"/>
      <c r="DW417" s="238"/>
      <c r="DX417" s="238"/>
      <c r="DY417" s="238"/>
      <c r="DZ417" s="238"/>
      <c r="EA417" s="238"/>
      <c r="EB417" s="238"/>
      <c r="EC417" s="238"/>
      <c r="ED417" s="238"/>
      <c r="EE417" s="238"/>
      <c r="EF417" s="238"/>
      <c r="EG417" s="238"/>
      <c r="EH417" s="238"/>
      <c r="EI417" s="238"/>
      <c r="EJ417" s="238"/>
      <c r="EK417" s="238"/>
      <c r="EL417" s="238"/>
      <c r="EM417" s="238"/>
      <c r="EN417" s="238"/>
    </row>
    <row r="418" spans="1:144" s="65" customFormat="1" ht="27.75" customHeight="1">
      <c r="B418" s="133"/>
      <c r="C418" s="162" t="s">
        <v>516</v>
      </c>
      <c r="D418" s="500" t="s">
        <v>520</v>
      </c>
      <c r="E418" s="522">
        <v>0</v>
      </c>
      <c r="F418" s="522">
        <v>0</v>
      </c>
      <c r="G418" s="506"/>
      <c r="H418" s="545"/>
      <c r="I418" s="134"/>
      <c r="J418" s="134"/>
      <c r="K418" s="134"/>
      <c r="L418" s="134"/>
      <c r="M418" s="506"/>
      <c r="N418" s="506"/>
      <c r="O418" s="28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72"/>
      <c r="AQ418" s="72"/>
      <c r="AR418" s="72"/>
      <c r="AS418" s="72"/>
      <c r="AT418" s="72"/>
      <c r="AU418" s="72"/>
      <c r="AV418" s="72"/>
      <c r="AW418" s="72"/>
      <c r="AX418" s="72"/>
      <c r="AY418" s="72"/>
      <c r="AZ418" s="72"/>
      <c r="BA418" s="72"/>
      <c r="BB418" s="72"/>
      <c r="BC418" s="72"/>
      <c r="BD418" s="72"/>
      <c r="BE418" s="72"/>
      <c r="BF418" s="72"/>
      <c r="BG418" s="72"/>
      <c r="BH418" s="72"/>
      <c r="BI418" s="72"/>
      <c r="BJ418" s="72"/>
      <c r="BK418" s="72"/>
      <c r="BL418" s="72"/>
      <c r="BM418" s="72"/>
      <c r="BN418" s="72"/>
      <c r="BO418" s="72"/>
      <c r="BP418" s="72"/>
      <c r="BQ418" s="72"/>
      <c r="BR418" s="72"/>
      <c r="BS418" s="72"/>
      <c r="BT418" s="72"/>
      <c r="BU418" s="72"/>
      <c r="BV418" s="72"/>
      <c r="BW418" s="72"/>
      <c r="BX418" s="72"/>
      <c r="BY418" s="72"/>
      <c r="BZ418" s="72"/>
      <c r="CA418" s="72"/>
      <c r="CB418" s="72"/>
      <c r="CC418" s="72"/>
      <c r="CD418" s="72"/>
      <c r="CE418" s="72"/>
      <c r="CF418" s="72"/>
      <c r="CG418" s="72"/>
      <c r="CH418" s="72"/>
      <c r="CI418" s="72"/>
      <c r="CJ418" s="72"/>
      <c r="CK418" s="72"/>
      <c r="CL418" s="72"/>
      <c r="CM418" s="72"/>
      <c r="CN418" s="72"/>
      <c r="CO418" s="72"/>
      <c r="CP418" s="72"/>
      <c r="CQ418" s="72"/>
      <c r="CR418" s="72"/>
      <c r="CS418" s="72"/>
      <c r="CT418" s="72"/>
      <c r="CU418" s="72"/>
      <c r="CV418" s="72"/>
      <c r="CW418" s="72"/>
      <c r="CX418" s="72"/>
      <c r="CY418" s="72"/>
      <c r="CZ418" s="72"/>
      <c r="DA418" s="72"/>
      <c r="DB418" s="72"/>
      <c r="DC418" s="72"/>
      <c r="DD418" s="72"/>
      <c r="DE418" s="72"/>
      <c r="DF418" s="72"/>
      <c r="DG418" s="72"/>
      <c r="DH418" s="72"/>
      <c r="DI418" s="72"/>
      <c r="DJ418" s="72"/>
      <c r="DK418" s="72"/>
      <c r="DL418" s="72"/>
      <c r="DM418" s="72"/>
      <c r="DN418" s="72"/>
      <c r="DO418" s="72"/>
      <c r="DP418" s="72"/>
      <c r="DQ418" s="72"/>
      <c r="DR418" s="72"/>
      <c r="DS418" s="72"/>
      <c r="DT418" s="72"/>
      <c r="DU418" s="72"/>
      <c r="DV418" s="72"/>
      <c r="DW418" s="72"/>
      <c r="DX418" s="72"/>
      <c r="DY418" s="72"/>
      <c r="DZ418" s="72"/>
      <c r="EA418" s="72"/>
      <c r="EB418" s="72"/>
      <c r="EC418" s="72"/>
      <c r="ED418" s="72"/>
      <c r="EE418" s="72"/>
      <c r="EF418" s="72"/>
      <c r="EG418" s="72"/>
      <c r="EH418" s="72"/>
      <c r="EI418" s="72"/>
      <c r="EJ418" s="72"/>
      <c r="EK418" s="72"/>
      <c r="EL418" s="72"/>
      <c r="EM418" s="72"/>
      <c r="EN418" s="72"/>
    </row>
    <row r="419" spans="1:144" s="65" customFormat="1" ht="27.75" customHeight="1">
      <c r="B419" s="133"/>
      <c r="C419" s="162" t="s">
        <v>517</v>
      </c>
      <c r="D419" s="500" t="s">
        <v>329</v>
      </c>
      <c r="E419" s="522">
        <f>4713.4484*1000</f>
        <v>4713448.4000000004</v>
      </c>
      <c r="F419" s="522">
        <f>4566.4389*1000</f>
        <v>4566438.9000000004</v>
      </c>
      <c r="G419" s="506"/>
      <c r="H419" s="545"/>
      <c r="I419" s="134"/>
      <c r="J419" s="134"/>
      <c r="K419" s="134"/>
      <c r="L419" s="134"/>
      <c r="M419" s="506"/>
      <c r="N419" s="506"/>
      <c r="O419" s="28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72"/>
      <c r="AQ419" s="72"/>
      <c r="AR419" s="72"/>
      <c r="AS419" s="72"/>
      <c r="AT419" s="72"/>
      <c r="AU419" s="72"/>
      <c r="AV419" s="72"/>
      <c r="AW419" s="72"/>
      <c r="AX419" s="72"/>
      <c r="AY419" s="72"/>
      <c r="AZ419" s="72"/>
      <c r="BA419" s="72"/>
      <c r="BB419" s="72"/>
      <c r="BC419" s="72"/>
      <c r="BD419" s="72"/>
      <c r="BE419" s="72"/>
      <c r="BF419" s="72"/>
      <c r="BG419" s="72"/>
      <c r="BH419" s="72"/>
      <c r="BI419" s="72"/>
      <c r="BJ419" s="72"/>
      <c r="BK419" s="72"/>
      <c r="BL419" s="72"/>
      <c r="BM419" s="72"/>
      <c r="BN419" s="72"/>
      <c r="BO419" s="72"/>
      <c r="BP419" s="72"/>
      <c r="BQ419" s="72"/>
      <c r="BR419" s="72"/>
      <c r="BS419" s="72"/>
      <c r="BT419" s="72"/>
      <c r="BU419" s="72"/>
      <c r="BV419" s="72"/>
      <c r="BW419" s="72"/>
      <c r="BX419" s="72"/>
      <c r="BY419" s="72"/>
      <c r="BZ419" s="72"/>
      <c r="CA419" s="72"/>
      <c r="CB419" s="72"/>
      <c r="CC419" s="72"/>
      <c r="CD419" s="72"/>
      <c r="CE419" s="72"/>
      <c r="CF419" s="72"/>
      <c r="CG419" s="72"/>
      <c r="CH419" s="72"/>
      <c r="CI419" s="72"/>
      <c r="CJ419" s="72"/>
      <c r="CK419" s="72"/>
      <c r="CL419" s="72"/>
      <c r="CM419" s="72"/>
      <c r="CN419" s="72"/>
      <c r="CO419" s="72"/>
      <c r="CP419" s="72"/>
      <c r="CQ419" s="72"/>
      <c r="CR419" s="72"/>
      <c r="CS419" s="72"/>
      <c r="CT419" s="72"/>
      <c r="CU419" s="72"/>
      <c r="CV419" s="72"/>
      <c r="CW419" s="72"/>
      <c r="CX419" s="72"/>
      <c r="CY419" s="72"/>
      <c r="CZ419" s="72"/>
      <c r="DA419" s="72"/>
      <c r="DB419" s="72"/>
      <c r="DC419" s="72"/>
      <c r="DD419" s="72"/>
      <c r="DE419" s="72"/>
      <c r="DF419" s="72"/>
      <c r="DG419" s="72"/>
      <c r="DH419" s="72"/>
      <c r="DI419" s="72"/>
      <c r="DJ419" s="72"/>
      <c r="DK419" s="72"/>
      <c r="DL419" s="72"/>
      <c r="DM419" s="72"/>
      <c r="DN419" s="72"/>
      <c r="DO419" s="72"/>
      <c r="DP419" s="72"/>
      <c r="DQ419" s="72"/>
      <c r="DR419" s="72"/>
      <c r="DS419" s="72"/>
      <c r="DT419" s="72"/>
      <c r="DU419" s="72"/>
      <c r="DV419" s="72"/>
      <c r="DW419" s="72"/>
      <c r="DX419" s="72"/>
      <c r="DY419" s="72"/>
      <c r="DZ419" s="72"/>
      <c r="EA419" s="72"/>
      <c r="EB419" s="72"/>
      <c r="EC419" s="72"/>
      <c r="ED419" s="72"/>
      <c r="EE419" s="72"/>
      <c r="EF419" s="72"/>
      <c r="EG419" s="72"/>
      <c r="EH419" s="72"/>
      <c r="EI419" s="72"/>
      <c r="EJ419" s="72"/>
      <c r="EK419" s="72"/>
      <c r="EL419" s="72"/>
      <c r="EM419" s="72"/>
      <c r="EN419" s="72"/>
    </row>
    <row r="420" spans="1:144" s="65" customFormat="1" ht="27.75" customHeight="1">
      <c r="B420" s="133"/>
      <c r="C420" s="162" t="s">
        <v>518</v>
      </c>
      <c r="D420" s="500" t="s">
        <v>521</v>
      </c>
      <c r="E420" s="522">
        <f>67.9516*1000</f>
        <v>67951.600000000006</v>
      </c>
      <c r="F420" s="522">
        <f>67.9516*1000</f>
        <v>67951.600000000006</v>
      </c>
      <c r="G420" s="506"/>
      <c r="H420" s="545"/>
      <c r="I420" s="134"/>
      <c r="J420" s="134"/>
      <c r="K420" s="134"/>
      <c r="L420" s="134"/>
      <c r="M420" s="506"/>
      <c r="N420" s="506"/>
      <c r="O420" s="28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72"/>
      <c r="AQ420" s="72"/>
      <c r="AR420" s="72"/>
      <c r="AS420" s="72"/>
      <c r="AT420" s="72"/>
      <c r="AU420" s="72"/>
      <c r="AV420" s="72"/>
      <c r="AW420" s="72"/>
      <c r="AX420" s="72"/>
      <c r="AY420" s="72"/>
      <c r="AZ420" s="72"/>
      <c r="BA420" s="72"/>
      <c r="BB420" s="72"/>
      <c r="BC420" s="72"/>
      <c r="BD420" s="72"/>
      <c r="BE420" s="72"/>
      <c r="BF420" s="72"/>
      <c r="BG420" s="72"/>
      <c r="BH420" s="72"/>
      <c r="BI420" s="72"/>
      <c r="BJ420" s="72"/>
      <c r="BK420" s="72"/>
      <c r="BL420" s="72"/>
      <c r="BM420" s="72"/>
      <c r="BN420" s="72"/>
      <c r="BO420" s="72"/>
      <c r="BP420" s="72"/>
      <c r="BQ420" s="72"/>
      <c r="BR420" s="72"/>
      <c r="BS420" s="72"/>
      <c r="BT420" s="72"/>
      <c r="BU420" s="72"/>
      <c r="BV420" s="72"/>
      <c r="BW420" s="72"/>
      <c r="BX420" s="72"/>
      <c r="BY420" s="72"/>
      <c r="BZ420" s="72"/>
      <c r="CA420" s="72"/>
      <c r="CB420" s="72"/>
      <c r="CC420" s="72"/>
      <c r="CD420" s="72"/>
      <c r="CE420" s="72"/>
      <c r="CF420" s="72"/>
      <c r="CG420" s="72"/>
      <c r="CH420" s="72"/>
      <c r="CI420" s="72"/>
      <c r="CJ420" s="72"/>
      <c r="CK420" s="72"/>
      <c r="CL420" s="72"/>
      <c r="CM420" s="72"/>
      <c r="CN420" s="72"/>
      <c r="CO420" s="72"/>
      <c r="CP420" s="72"/>
      <c r="CQ420" s="72"/>
      <c r="CR420" s="72"/>
      <c r="CS420" s="72"/>
      <c r="CT420" s="72"/>
      <c r="CU420" s="72"/>
      <c r="CV420" s="72"/>
      <c r="CW420" s="72"/>
      <c r="CX420" s="72"/>
      <c r="CY420" s="72"/>
      <c r="CZ420" s="72"/>
      <c r="DA420" s="72"/>
      <c r="DB420" s="72"/>
      <c r="DC420" s="72"/>
      <c r="DD420" s="72"/>
      <c r="DE420" s="72"/>
      <c r="DF420" s="72"/>
      <c r="DG420" s="72"/>
      <c r="DH420" s="72"/>
      <c r="DI420" s="72"/>
      <c r="DJ420" s="72"/>
      <c r="DK420" s="72"/>
      <c r="DL420" s="72"/>
      <c r="DM420" s="72"/>
      <c r="DN420" s="72"/>
      <c r="DO420" s="72"/>
      <c r="DP420" s="72"/>
      <c r="DQ420" s="72"/>
      <c r="DR420" s="72"/>
      <c r="DS420" s="72"/>
      <c r="DT420" s="72"/>
      <c r="DU420" s="72"/>
      <c r="DV420" s="72"/>
      <c r="DW420" s="72"/>
      <c r="DX420" s="72"/>
      <c r="DY420" s="72"/>
      <c r="DZ420" s="72"/>
      <c r="EA420" s="72"/>
      <c r="EB420" s="72"/>
      <c r="EC420" s="72"/>
      <c r="ED420" s="72"/>
      <c r="EE420" s="72"/>
      <c r="EF420" s="72"/>
      <c r="EG420" s="72"/>
      <c r="EH420" s="72"/>
      <c r="EI420" s="72"/>
      <c r="EJ420" s="72"/>
      <c r="EK420" s="72"/>
      <c r="EL420" s="72"/>
      <c r="EM420" s="72"/>
      <c r="EN420" s="72"/>
    </row>
    <row r="421" spans="1:144" s="65" customFormat="1" ht="27.75" customHeight="1">
      <c r="B421" s="133"/>
      <c r="C421" s="162" t="s">
        <v>519</v>
      </c>
      <c r="D421" s="500" t="s">
        <v>522</v>
      </c>
      <c r="E421" s="522">
        <v>0</v>
      </c>
      <c r="F421" s="522">
        <v>0</v>
      </c>
      <c r="G421" s="506"/>
      <c r="H421" s="545"/>
      <c r="I421" s="134"/>
      <c r="J421" s="134"/>
      <c r="K421" s="134"/>
      <c r="L421" s="134"/>
      <c r="M421" s="506"/>
      <c r="N421" s="506"/>
      <c r="O421" s="28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72"/>
      <c r="AQ421" s="72"/>
      <c r="AR421" s="72"/>
      <c r="AS421" s="72"/>
      <c r="AT421" s="72"/>
      <c r="AU421" s="72"/>
      <c r="AV421" s="72"/>
      <c r="AW421" s="72"/>
      <c r="AX421" s="72"/>
      <c r="AY421" s="72"/>
      <c r="AZ421" s="72"/>
      <c r="BA421" s="72"/>
      <c r="BB421" s="72"/>
      <c r="BC421" s="72"/>
      <c r="BD421" s="72"/>
      <c r="BE421" s="72"/>
      <c r="BF421" s="72"/>
      <c r="BG421" s="72"/>
      <c r="BH421" s="72"/>
      <c r="BI421" s="72"/>
      <c r="BJ421" s="72"/>
      <c r="BK421" s="72"/>
      <c r="BL421" s="72"/>
      <c r="BM421" s="72"/>
      <c r="BN421" s="72"/>
      <c r="BO421" s="72"/>
      <c r="BP421" s="72"/>
      <c r="BQ421" s="72"/>
      <c r="BR421" s="72"/>
      <c r="BS421" s="72"/>
      <c r="BT421" s="72"/>
      <c r="BU421" s="72"/>
      <c r="BV421" s="72"/>
      <c r="BW421" s="72"/>
      <c r="BX421" s="72"/>
      <c r="BY421" s="72"/>
      <c r="BZ421" s="72"/>
      <c r="CA421" s="72"/>
      <c r="CB421" s="72"/>
      <c r="CC421" s="72"/>
      <c r="CD421" s="72"/>
      <c r="CE421" s="72"/>
      <c r="CF421" s="72"/>
      <c r="CG421" s="72"/>
      <c r="CH421" s="72"/>
      <c r="CI421" s="72"/>
      <c r="CJ421" s="72"/>
      <c r="CK421" s="72"/>
      <c r="CL421" s="72"/>
      <c r="CM421" s="72"/>
      <c r="CN421" s="72"/>
      <c r="CO421" s="72"/>
      <c r="CP421" s="72"/>
      <c r="CQ421" s="72"/>
      <c r="CR421" s="72"/>
      <c r="CS421" s="72"/>
      <c r="CT421" s="72"/>
      <c r="CU421" s="72"/>
      <c r="CV421" s="72"/>
      <c r="CW421" s="72"/>
      <c r="CX421" s="72"/>
      <c r="CY421" s="72"/>
      <c r="CZ421" s="72"/>
      <c r="DA421" s="72"/>
      <c r="DB421" s="72"/>
      <c r="DC421" s="72"/>
      <c r="DD421" s="72"/>
      <c r="DE421" s="72"/>
      <c r="DF421" s="72"/>
      <c r="DG421" s="72"/>
      <c r="DH421" s="72"/>
      <c r="DI421" s="72"/>
      <c r="DJ421" s="72"/>
      <c r="DK421" s="72"/>
      <c r="DL421" s="72"/>
      <c r="DM421" s="72"/>
      <c r="DN421" s="72"/>
      <c r="DO421" s="72"/>
      <c r="DP421" s="72"/>
      <c r="DQ421" s="72"/>
      <c r="DR421" s="72"/>
      <c r="DS421" s="72"/>
      <c r="DT421" s="72"/>
      <c r="DU421" s="72"/>
      <c r="DV421" s="72"/>
      <c r="DW421" s="72"/>
      <c r="DX421" s="72"/>
      <c r="DY421" s="72"/>
      <c r="DZ421" s="72"/>
      <c r="EA421" s="72"/>
      <c r="EB421" s="72"/>
      <c r="EC421" s="72"/>
      <c r="ED421" s="72"/>
      <c r="EE421" s="72"/>
      <c r="EF421" s="72"/>
      <c r="EG421" s="72"/>
      <c r="EH421" s="72"/>
      <c r="EI421" s="72"/>
      <c r="EJ421" s="72"/>
      <c r="EK421" s="72"/>
      <c r="EL421" s="72"/>
      <c r="EM421" s="72"/>
      <c r="EN421" s="72"/>
    </row>
    <row r="422" spans="1:144" s="65" customFormat="1" ht="50.25" customHeight="1">
      <c r="B422" s="133"/>
      <c r="C422" s="820" t="s">
        <v>725</v>
      </c>
      <c r="D422" s="821"/>
      <c r="E422" s="821"/>
      <c r="F422" s="821"/>
      <c r="G422" s="821"/>
      <c r="H422" s="821"/>
      <c r="I422" s="821"/>
      <c r="J422" s="821"/>
      <c r="K422" s="821"/>
      <c r="L422" s="821"/>
      <c r="M422" s="821"/>
      <c r="N422" s="822"/>
      <c r="O422" s="288"/>
      <c r="P422" s="382"/>
      <c r="Q422" s="382"/>
      <c r="R422" s="382"/>
      <c r="S422" s="382"/>
      <c r="T422" s="382"/>
      <c r="U422" s="382"/>
      <c r="V422" s="382"/>
      <c r="W422" s="382"/>
      <c r="X422" s="58"/>
      <c r="Y422" s="58"/>
      <c r="Z422" s="58"/>
      <c r="AA422" s="58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72"/>
      <c r="AQ422" s="72"/>
      <c r="AR422" s="72"/>
      <c r="AS422" s="72"/>
      <c r="AT422" s="72"/>
      <c r="AU422" s="72"/>
      <c r="AV422" s="72"/>
      <c r="AW422" s="72"/>
      <c r="AX422" s="72"/>
      <c r="AY422" s="72"/>
      <c r="AZ422" s="72"/>
      <c r="BA422" s="72"/>
      <c r="BB422" s="72"/>
      <c r="BC422" s="72"/>
      <c r="BD422" s="72"/>
      <c r="BE422" s="72"/>
      <c r="BF422" s="72"/>
      <c r="BG422" s="72"/>
      <c r="BH422" s="72"/>
      <c r="BI422" s="72"/>
      <c r="BJ422" s="72"/>
      <c r="BK422" s="72"/>
      <c r="BL422" s="72"/>
      <c r="BM422" s="72"/>
      <c r="BN422" s="72"/>
      <c r="BO422" s="72"/>
      <c r="BP422" s="72"/>
      <c r="BQ422" s="72"/>
      <c r="BR422" s="72"/>
      <c r="BS422" s="72"/>
      <c r="BT422" s="72"/>
      <c r="BU422" s="72"/>
      <c r="BV422" s="72"/>
      <c r="BW422" s="72"/>
      <c r="BX422" s="72"/>
      <c r="BY422" s="72"/>
      <c r="BZ422" s="72"/>
      <c r="CA422" s="72"/>
      <c r="CB422" s="72"/>
      <c r="CC422" s="72"/>
      <c r="CD422" s="72"/>
      <c r="CE422" s="72"/>
      <c r="CF422" s="72"/>
      <c r="CG422" s="72"/>
      <c r="CH422" s="72"/>
      <c r="CI422" s="72"/>
      <c r="CJ422" s="72"/>
      <c r="CK422" s="72"/>
      <c r="CL422" s="72"/>
      <c r="CM422" s="72"/>
      <c r="CN422" s="72"/>
      <c r="CO422" s="72"/>
      <c r="CP422" s="72"/>
      <c r="CQ422" s="72"/>
      <c r="CR422" s="72"/>
      <c r="CS422" s="72"/>
      <c r="CT422" s="72"/>
      <c r="CU422" s="72"/>
      <c r="CV422" s="72"/>
      <c r="CW422" s="72"/>
      <c r="CX422" s="72"/>
      <c r="CY422" s="72"/>
      <c r="CZ422" s="72"/>
      <c r="DA422" s="72"/>
      <c r="DB422" s="72"/>
      <c r="DC422" s="72"/>
      <c r="DD422" s="72"/>
      <c r="DE422" s="72"/>
      <c r="DF422" s="72"/>
      <c r="DG422" s="72"/>
      <c r="DH422" s="72"/>
      <c r="DI422" s="72"/>
      <c r="DJ422" s="72"/>
      <c r="DK422" s="72"/>
      <c r="DL422" s="72"/>
      <c r="DM422" s="72"/>
      <c r="DN422" s="72"/>
      <c r="DO422" s="72"/>
      <c r="DP422" s="72"/>
      <c r="DQ422" s="72"/>
      <c r="DR422" s="72"/>
      <c r="DS422" s="72"/>
      <c r="DT422" s="72"/>
      <c r="DU422" s="72"/>
      <c r="DV422" s="72"/>
      <c r="DW422" s="72"/>
      <c r="DX422" s="72"/>
      <c r="DY422" s="72"/>
      <c r="DZ422" s="72"/>
      <c r="EA422" s="72"/>
      <c r="EB422" s="72"/>
      <c r="EC422" s="72"/>
      <c r="ED422" s="72"/>
      <c r="EE422" s="72"/>
      <c r="EF422" s="72"/>
      <c r="EG422" s="72"/>
      <c r="EH422" s="72"/>
      <c r="EI422" s="72"/>
      <c r="EJ422" s="72"/>
      <c r="EK422" s="72"/>
      <c r="EL422" s="72"/>
      <c r="EM422" s="72"/>
      <c r="EN422" s="72"/>
    </row>
    <row r="423" spans="1:144" s="167" customFormat="1" ht="60" customHeight="1">
      <c r="B423" s="112" t="s">
        <v>753</v>
      </c>
      <c r="C423" s="802" t="s">
        <v>530</v>
      </c>
      <c r="D423" s="803"/>
      <c r="E423" s="803"/>
      <c r="F423" s="803"/>
      <c r="G423" s="803"/>
      <c r="H423" s="803"/>
      <c r="I423" s="803"/>
      <c r="J423" s="803"/>
      <c r="K423" s="803"/>
      <c r="L423" s="803"/>
      <c r="M423" s="803"/>
      <c r="N423" s="853"/>
      <c r="O423" s="288"/>
      <c r="P423" s="382"/>
      <c r="Q423" s="382"/>
      <c r="R423" s="382"/>
      <c r="S423" s="382"/>
      <c r="T423" s="382"/>
      <c r="U423" s="382"/>
      <c r="V423" s="382"/>
      <c r="W423" s="382"/>
      <c r="X423" s="382"/>
      <c r="Y423" s="382"/>
      <c r="Z423" s="382"/>
      <c r="AA423" s="382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  <c r="EC423" s="124"/>
      <c r="ED423" s="124"/>
      <c r="EE423" s="124"/>
      <c r="EF423" s="124"/>
      <c r="EG423" s="124"/>
      <c r="EH423" s="124"/>
      <c r="EI423" s="124"/>
      <c r="EJ423" s="124"/>
      <c r="EK423" s="124"/>
      <c r="EL423" s="124"/>
      <c r="EM423" s="124"/>
      <c r="EN423" s="124"/>
    </row>
    <row r="424" spans="1:144" ht="34.5" customHeight="1">
      <c r="A424" s="7"/>
      <c r="B424" s="8"/>
      <c r="C424" s="785" t="s">
        <v>263</v>
      </c>
      <c r="D424" s="786"/>
      <c r="E424" s="786"/>
      <c r="F424" s="786"/>
      <c r="G424" s="786"/>
      <c r="H424" s="786"/>
      <c r="I424" s="786"/>
      <c r="J424" s="786"/>
      <c r="K424" s="786"/>
      <c r="L424" s="786"/>
      <c r="M424" s="786"/>
      <c r="N424" s="787"/>
    </row>
    <row r="425" spans="1:144" ht="22.5" customHeight="1">
      <c r="A425" s="7"/>
      <c r="B425" s="8"/>
      <c r="C425" s="785" t="s">
        <v>262</v>
      </c>
      <c r="D425" s="786"/>
      <c r="E425" s="786"/>
      <c r="F425" s="786"/>
      <c r="G425" s="786"/>
      <c r="H425" s="786"/>
      <c r="I425" s="786"/>
      <c r="J425" s="786"/>
      <c r="K425" s="786"/>
      <c r="L425" s="786"/>
      <c r="M425" s="786"/>
      <c r="N425" s="787"/>
    </row>
    <row r="426" spans="1:144" ht="24" customHeight="1">
      <c r="A426" s="7"/>
      <c r="B426" s="8"/>
      <c r="C426" s="785" t="s">
        <v>264</v>
      </c>
      <c r="D426" s="786"/>
      <c r="E426" s="786"/>
      <c r="F426" s="786"/>
      <c r="G426" s="786"/>
      <c r="H426" s="786"/>
      <c r="I426" s="786"/>
      <c r="J426" s="786"/>
      <c r="K426" s="786"/>
      <c r="L426" s="786"/>
      <c r="M426" s="786"/>
      <c r="N426" s="787"/>
    </row>
    <row r="427" spans="1:144" ht="23.25" customHeight="1">
      <c r="A427" s="7"/>
      <c r="B427" s="8"/>
      <c r="C427" s="785" t="s">
        <v>265</v>
      </c>
      <c r="D427" s="786"/>
      <c r="E427" s="786"/>
      <c r="F427" s="786"/>
      <c r="G427" s="786"/>
      <c r="H427" s="786"/>
      <c r="I427" s="786"/>
      <c r="J427" s="786"/>
      <c r="K427" s="786"/>
      <c r="L427" s="786"/>
      <c r="M427" s="786"/>
      <c r="N427" s="787"/>
    </row>
    <row r="428" spans="1:144" ht="21" customHeight="1">
      <c r="A428" s="7"/>
      <c r="B428" s="8"/>
      <c r="C428" s="785" t="s">
        <v>266</v>
      </c>
      <c r="D428" s="786"/>
      <c r="E428" s="786"/>
      <c r="F428" s="786"/>
      <c r="G428" s="786"/>
      <c r="H428" s="786"/>
      <c r="I428" s="786"/>
      <c r="J428" s="786"/>
      <c r="K428" s="786"/>
      <c r="L428" s="786"/>
      <c r="M428" s="786"/>
      <c r="N428" s="787"/>
    </row>
    <row r="429" spans="1:144" ht="24.75" customHeight="1">
      <c r="A429" s="7"/>
      <c r="B429" s="8"/>
      <c r="C429" s="785" t="s">
        <v>270</v>
      </c>
      <c r="D429" s="786"/>
      <c r="E429" s="786"/>
      <c r="F429" s="786"/>
      <c r="G429" s="786"/>
      <c r="H429" s="786"/>
      <c r="I429" s="786"/>
      <c r="J429" s="786"/>
      <c r="K429" s="786"/>
      <c r="L429" s="786"/>
      <c r="M429" s="786"/>
      <c r="N429" s="787"/>
    </row>
    <row r="430" spans="1:144" ht="39.75" customHeight="1">
      <c r="A430" s="7"/>
      <c r="B430" s="246" t="s">
        <v>754</v>
      </c>
      <c r="C430" s="805" t="s">
        <v>267</v>
      </c>
      <c r="D430" s="806"/>
      <c r="E430" s="806"/>
      <c r="F430" s="806"/>
      <c r="G430" s="806"/>
      <c r="H430" s="806"/>
      <c r="I430" s="806"/>
      <c r="J430" s="806"/>
      <c r="K430" s="806"/>
      <c r="L430" s="806"/>
      <c r="M430" s="806"/>
      <c r="N430" s="807"/>
    </row>
    <row r="431" spans="1:144" ht="34.5" customHeight="1">
      <c r="A431" s="7"/>
      <c r="B431" s="8"/>
      <c r="C431" s="785" t="s">
        <v>268</v>
      </c>
      <c r="D431" s="786"/>
      <c r="E431" s="786"/>
      <c r="F431" s="786"/>
      <c r="G431" s="786"/>
      <c r="H431" s="786"/>
      <c r="I431" s="786"/>
      <c r="J431" s="786"/>
      <c r="K431" s="786"/>
      <c r="L431" s="786"/>
      <c r="M431" s="786"/>
      <c r="N431" s="787"/>
    </row>
    <row r="432" spans="1:144" ht="24" customHeight="1">
      <c r="A432" s="7"/>
      <c r="B432" s="8"/>
      <c r="C432" s="785" t="s">
        <v>269</v>
      </c>
      <c r="D432" s="786"/>
      <c r="E432" s="786"/>
      <c r="F432" s="786"/>
      <c r="G432" s="786"/>
      <c r="H432" s="786"/>
      <c r="I432" s="786"/>
      <c r="J432" s="786"/>
      <c r="K432" s="786"/>
      <c r="L432" s="786"/>
      <c r="M432" s="786"/>
      <c r="N432" s="787"/>
    </row>
    <row r="433" spans="1:145" ht="24" customHeight="1">
      <c r="A433" s="7"/>
      <c r="B433" s="8"/>
      <c r="C433" s="785" t="s">
        <v>271</v>
      </c>
      <c r="D433" s="786"/>
      <c r="E433" s="786"/>
      <c r="F433" s="786"/>
      <c r="G433" s="786"/>
      <c r="H433" s="786"/>
      <c r="I433" s="786"/>
      <c r="J433" s="786"/>
      <c r="K433" s="786"/>
      <c r="L433" s="786"/>
      <c r="M433" s="786"/>
      <c r="N433" s="787"/>
    </row>
    <row r="434" spans="1:145" ht="60" customHeight="1">
      <c r="A434" s="7"/>
      <c r="B434" s="8" t="s">
        <v>755</v>
      </c>
      <c r="C434" s="44" t="s">
        <v>726</v>
      </c>
      <c r="D434" s="207">
        <v>10</v>
      </c>
      <c r="E434" s="768">
        <v>14681452.5</v>
      </c>
      <c r="F434" s="768">
        <v>13432915.92</v>
      </c>
      <c r="G434" s="202">
        <f>(F434/E434)*100</f>
        <v>91.495823863476716</v>
      </c>
      <c r="H434" s="540">
        <f>G434/100</f>
        <v>0.91495823863476711</v>
      </c>
      <c r="I434" s="700" t="s">
        <v>728</v>
      </c>
      <c r="J434" s="202" t="s">
        <v>23</v>
      </c>
      <c r="K434" s="695">
        <v>1</v>
      </c>
      <c r="L434" s="695">
        <v>1</v>
      </c>
      <c r="M434" s="202">
        <f>L434/K434*100</f>
        <v>100</v>
      </c>
      <c r="N434" s="252">
        <v>1</v>
      </c>
    </row>
    <row r="435" spans="1:145" ht="60" customHeight="1">
      <c r="A435" s="7"/>
      <c r="B435" s="8" t="s">
        <v>756</v>
      </c>
      <c r="C435" s="44" t="s">
        <v>821</v>
      </c>
      <c r="D435" s="207" t="s">
        <v>333</v>
      </c>
      <c r="E435" s="768">
        <v>932115</v>
      </c>
      <c r="F435" s="768">
        <v>932115</v>
      </c>
      <c r="G435" s="202">
        <f t="shared" ref="G435:G436" si="30">(F435/E435)*100</f>
        <v>100</v>
      </c>
      <c r="H435" s="540">
        <f t="shared" ref="H435:H436" si="31">G435/100</f>
        <v>1</v>
      </c>
      <c r="I435" s="700" t="s">
        <v>729</v>
      </c>
      <c r="J435" s="12" t="s">
        <v>12</v>
      </c>
      <c r="K435" s="695">
        <v>5</v>
      </c>
      <c r="L435" s="695">
        <v>5</v>
      </c>
      <c r="M435" s="202">
        <f>L435/K435*100</f>
        <v>100</v>
      </c>
      <c r="N435" s="598">
        <v>1</v>
      </c>
    </row>
    <row r="436" spans="1:145" ht="55.5" customHeight="1">
      <c r="A436" s="7"/>
      <c r="B436" s="8" t="s">
        <v>820</v>
      </c>
      <c r="C436" s="367" t="s">
        <v>727</v>
      </c>
      <c r="D436" s="10" t="s">
        <v>333</v>
      </c>
      <c r="E436" s="768">
        <v>5664000</v>
      </c>
      <c r="F436" s="768">
        <v>5664000</v>
      </c>
      <c r="G436" s="202">
        <f t="shared" si="30"/>
        <v>100</v>
      </c>
      <c r="H436" s="540">
        <f t="shared" si="31"/>
        <v>1</v>
      </c>
      <c r="I436" s="45"/>
      <c r="J436" s="769"/>
      <c r="K436" s="770"/>
      <c r="L436" s="770"/>
      <c r="M436" s="45"/>
      <c r="N436" s="771"/>
    </row>
    <row r="437" spans="1:145" ht="60" hidden="1" customHeight="1">
      <c r="A437" s="7"/>
      <c r="B437" s="8"/>
      <c r="C437" s="44"/>
      <c r="D437" s="207"/>
      <c r="E437" s="304"/>
      <c r="F437" s="304"/>
      <c r="G437" s="202"/>
      <c r="H437" s="540"/>
      <c r="I437" s="700"/>
      <c r="J437" s="202"/>
      <c r="K437" s="695"/>
      <c r="L437" s="695"/>
      <c r="M437" s="202"/>
      <c r="N437" s="252"/>
      <c r="P437" s="355"/>
      <c r="Q437" s="355"/>
      <c r="R437" s="355"/>
      <c r="S437" s="355"/>
      <c r="T437" s="355"/>
      <c r="U437" s="355"/>
      <c r="V437" s="355"/>
      <c r="W437" s="355"/>
    </row>
    <row r="438" spans="1:145" s="14" customFormat="1" ht="52.5" hidden="1" customHeight="1">
      <c r="A438" s="9"/>
      <c r="B438" s="10"/>
      <c r="C438" s="367"/>
      <c r="D438" s="10"/>
      <c r="E438" s="298"/>
      <c r="F438" s="298"/>
      <c r="G438" s="202"/>
      <c r="H438" s="399"/>
      <c r="I438" s="700"/>
      <c r="J438" s="12"/>
      <c r="K438" s="695"/>
      <c r="L438" s="695"/>
      <c r="M438" s="13"/>
      <c r="N438" s="396"/>
      <c r="O438" s="288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7"/>
      <c r="CD438" s="127"/>
      <c r="CE438" s="127"/>
      <c r="CF438" s="127"/>
      <c r="CG438" s="127"/>
      <c r="CH438" s="127"/>
      <c r="CI438" s="127"/>
      <c r="CJ438" s="127"/>
      <c r="CK438" s="127"/>
      <c r="CL438" s="127"/>
      <c r="CM438" s="127"/>
      <c r="CN438" s="127"/>
      <c r="CO438" s="127"/>
      <c r="CP438" s="127"/>
      <c r="CQ438" s="127"/>
      <c r="CR438" s="127"/>
      <c r="CS438" s="127"/>
      <c r="CT438" s="127"/>
      <c r="CU438" s="127"/>
      <c r="CV438" s="127"/>
      <c r="CW438" s="127"/>
      <c r="CX438" s="127"/>
      <c r="CY438" s="127"/>
      <c r="CZ438" s="127"/>
      <c r="DA438" s="127"/>
      <c r="DB438" s="127"/>
      <c r="DC438" s="127"/>
      <c r="DD438" s="127"/>
      <c r="DE438" s="127"/>
      <c r="DF438" s="127"/>
      <c r="DG438" s="127"/>
      <c r="DH438" s="127"/>
      <c r="DI438" s="127"/>
      <c r="DJ438" s="127"/>
      <c r="DK438" s="127"/>
      <c r="DL438" s="127"/>
      <c r="DM438" s="127"/>
      <c r="DN438" s="127"/>
      <c r="DO438" s="127"/>
      <c r="DP438" s="127"/>
      <c r="DQ438" s="127"/>
      <c r="DR438" s="127"/>
      <c r="DS438" s="127"/>
      <c r="DT438" s="127"/>
      <c r="DU438" s="127"/>
      <c r="DV438" s="127"/>
      <c r="DW438" s="127"/>
      <c r="DX438" s="127"/>
      <c r="DY438" s="127"/>
      <c r="DZ438" s="127"/>
      <c r="EA438" s="127"/>
      <c r="EB438" s="127"/>
      <c r="EC438" s="127"/>
      <c r="ED438" s="127"/>
      <c r="EE438" s="127"/>
      <c r="EF438" s="127"/>
      <c r="EG438" s="127"/>
      <c r="EH438" s="127"/>
      <c r="EI438" s="127"/>
      <c r="EJ438" s="127"/>
      <c r="EK438" s="127"/>
      <c r="EL438" s="127"/>
      <c r="EM438" s="127"/>
      <c r="EN438" s="127"/>
    </row>
    <row r="439" spans="1:145" s="23" customFormat="1" ht="21" customHeight="1">
      <c r="A439" s="20"/>
      <c r="B439" s="21"/>
      <c r="C439" s="16" t="s">
        <v>21</v>
      </c>
      <c r="D439" s="402"/>
      <c r="E439" s="310">
        <f>E434+E435+E436</f>
        <v>21277567.5</v>
      </c>
      <c r="F439" s="310">
        <f>F434+F435+F436</f>
        <v>20029030.920000002</v>
      </c>
      <c r="G439" s="482">
        <f>F439/E439*100</f>
        <v>94.132146073558459</v>
      </c>
      <c r="H439" s="456">
        <f>G439/100</f>
        <v>0.94132146073558465</v>
      </c>
      <c r="I439" s="16"/>
      <c r="J439" s="22"/>
      <c r="K439" s="260"/>
      <c r="L439" s="260"/>
      <c r="M439" s="25">
        <f>(M434+M435)/2</f>
        <v>100</v>
      </c>
      <c r="N439" s="248">
        <v>1</v>
      </c>
      <c r="O439" s="288"/>
      <c r="P439" s="382"/>
      <c r="Q439" s="382"/>
      <c r="R439" s="382"/>
      <c r="S439" s="382"/>
      <c r="T439" s="382"/>
      <c r="U439" s="382"/>
      <c r="V439" s="382"/>
      <c r="W439" s="382"/>
      <c r="X439" s="58"/>
      <c r="Y439" s="58"/>
      <c r="Z439" s="58"/>
      <c r="AA439" s="58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72"/>
      <c r="AQ439" s="72"/>
      <c r="AR439" s="72"/>
      <c r="AS439" s="72"/>
      <c r="AT439" s="72"/>
      <c r="AU439" s="72"/>
      <c r="AV439" s="72"/>
      <c r="AW439" s="72"/>
      <c r="AX439" s="72"/>
      <c r="AY439" s="72"/>
      <c r="AZ439" s="72"/>
      <c r="BA439" s="72"/>
      <c r="BB439" s="72"/>
      <c r="BC439" s="72"/>
      <c r="BD439" s="72"/>
      <c r="BE439" s="72"/>
      <c r="BF439" s="72"/>
      <c r="BG439" s="72"/>
      <c r="BH439" s="72"/>
      <c r="BI439" s="72"/>
      <c r="BJ439" s="72"/>
      <c r="BK439" s="72"/>
      <c r="BL439" s="72"/>
      <c r="BM439" s="72"/>
      <c r="BN439" s="72"/>
      <c r="BO439" s="72"/>
      <c r="BP439" s="72"/>
      <c r="BQ439" s="72"/>
      <c r="BR439" s="72"/>
      <c r="BS439" s="72"/>
      <c r="BT439" s="72"/>
      <c r="BU439" s="72"/>
      <c r="BV439" s="72"/>
      <c r="BW439" s="72"/>
      <c r="BX439" s="72"/>
      <c r="BY439" s="72"/>
      <c r="BZ439" s="72"/>
      <c r="CA439" s="72"/>
      <c r="CB439" s="72"/>
      <c r="CC439" s="72"/>
      <c r="CD439" s="72"/>
      <c r="CE439" s="72"/>
      <c r="CF439" s="72"/>
      <c r="CG439" s="72"/>
      <c r="CH439" s="72"/>
      <c r="CI439" s="72"/>
      <c r="CJ439" s="72"/>
      <c r="CK439" s="72"/>
      <c r="CL439" s="72"/>
      <c r="CM439" s="72"/>
      <c r="CN439" s="72"/>
      <c r="CO439" s="72"/>
      <c r="CP439" s="72"/>
      <c r="CQ439" s="72"/>
      <c r="CR439" s="72"/>
      <c r="CS439" s="72"/>
      <c r="CT439" s="72"/>
      <c r="CU439" s="72"/>
      <c r="CV439" s="72"/>
      <c r="CW439" s="72"/>
      <c r="CX439" s="72"/>
      <c r="CY439" s="72"/>
      <c r="CZ439" s="72"/>
      <c r="DA439" s="72"/>
      <c r="DB439" s="72"/>
      <c r="DC439" s="72"/>
      <c r="DD439" s="72"/>
      <c r="DE439" s="72"/>
      <c r="DF439" s="72"/>
      <c r="DG439" s="72"/>
      <c r="DH439" s="72"/>
      <c r="DI439" s="72"/>
      <c r="DJ439" s="72"/>
      <c r="DK439" s="72"/>
      <c r="DL439" s="72"/>
      <c r="DM439" s="72"/>
      <c r="DN439" s="72"/>
      <c r="DO439" s="72"/>
      <c r="DP439" s="72"/>
      <c r="DQ439" s="72"/>
      <c r="DR439" s="72"/>
      <c r="DS439" s="72"/>
      <c r="DT439" s="72"/>
      <c r="DU439" s="72"/>
      <c r="DV439" s="72"/>
      <c r="DW439" s="72"/>
      <c r="DX439" s="72"/>
      <c r="DY439" s="72"/>
      <c r="DZ439" s="72"/>
      <c r="EA439" s="72"/>
      <c r="EB439" s="72"/>
      <c r="EC439" s="72"/>
      <c r="ED439" s="72"/>
      <c r="EE439" s="72"/>
      <c r="EF439" s="72"/>
      <c r="EG439" s="72"/>
      <c r="EH439" s="72"/>
      <c r="EI439" s="72"/>
      <c r="EJ439" s="72"/>
      <c r="EK439" s="72"/>
      <c r="EL439" s="72"/>
      <c r="EM439" s="72"/>
      <c r="EN439" s="72"/>
    </row>
    <row r="440" spans="1:145" ht="33" customHeight="1">
      <c r="A440" s="7"/>
      <c r="B440" s="246" t="s">
        <v>757</v>
      </c>
      <c r="C440" s="805" t="s">
        <v>272</v>
      </c>
      <c r="D440" s="806"/>
      <c r="E440" s="806"/>
      <c r="F440" s="806"/>
      <c r="G440" s="806"/>
      <c r="H440" s="806"/>
      <c r="I440" s="806"/>
      <c r="J440" s="806"/>
      <c r="K440" s="806"/>
      <c r="L440" s="806"/>
      <c r="M440" s="806"/>
      <c r="N440" s="807"/>
    </row>
    <row r="441" spans="1:145" ht="38.25" customHeight="1">
      <c r="A441" s="7"/>
      <c r="B441" s="8"/>
      <c r="C441" s="785" t="s">
        <v>273</v>
      </c>
      <c r="D441" s="786"/>
      <c r="E441" s="786"/>
      <c r="F441" s="786"/>
      <c r="G441" s="786"/>
      <c r="H441" s="786"/>
      <c r="I441" s="786"/>
      <c r="J441" s="786"/>
      <c r="K441" s="786"/>
      <c r="L441" s="786"/>
      <c r="M441" s="786"/>
      <c r="N441" s="787"/>
    </row>
    <row r="442" spans="1:145" ht="25.5" customHeight="1">
      <c r="A442" s="7"/>
      <c r="B442" s="8"/>
      <c r="C442" s="785" t="s">
        <v>274</v>
      </c>
      <c r="D442" s="786"/>
      <c r="E442" s="786"/>
      <c r="F442" s="786"/>
      <c r="G442" s="786"/>
      <c r="H442" s="786"/>
      <c r="I442" s="786"/>
      <c r="J442" s="786"/>
      <c r="K442" s="786"/>
      <c r="L442" s="786"/>
      <c r="M442" s="786"/>
      <c r="N442" s="787"/>
    </row>
    <row r="443" spans="1:145" ht="25.5" customHeight="1">
      <c r="A443" s="7"/>
      <c r="B443" s="8"/>
      <c r="C443" s="785" t="s">
        <v>275</v>
      </c>
      <c r="D443" s="786"/>
      <c r="E443" s="786"/>
      <c r="F443" s="786"/>
      <c r="G443" s="786"/>
      <c r="H443" s="786"/>
      <c r="I443" s="786"/>
      <c r="J443" s="786"/>
      <c r="K443" s="786"/>
      <c r="L443" s="786"/>
      <c r="M443" s="786"/>
      <c r="N443" s="787"/>
    </row>
    <row r="444" spans="1:145" ht="37.5" customHeight="1">
      <c r="A444" s="7"/>
      <c r="B444" s="8"/>
      <c r="C444" s="785" t="s">
        <v>276</v>
      </c>
      <c r="D444" s="786"/>
      <c r="E444" s="786"/>
      <c r="F444" s="786"/>
      <c r="G444" s="786"/>
      <c r="H444" s="786"/>
      <c r="I444" s="794"/>
      <c r="J444" s="794"/>
      <c r="K444" s="794"/>
      <c r="L444" s="794"/>
      <c r="M444" s="794"/>
      <c r="N444" s="795"/>
      <c r="P444" s="355"/>
      <c r="Q444" s="355"/>
      <c r="R444" s="355"/>
      <c r="S444" s="355"/>
      <c r="T444" s="355"/>
      <c r="U444" s="355"/>
      <c r="V444" s="355"/>
      <c r="W444" s="355"/>
    </row>
    <row r="445" spans="1:145" s="14" customFormat="1" ht="58.5" customHeight="1">
      <c r="A445" s="9"/>
      <c r="B445" s="10" t="s">
        <v>758</v>
      </c>
      <c r="C445" s="367" t="s">
        <v>730</v>
      </c>
      <c r="D445" s="10"/>
      <c r="E445" s="728">
        <v>81924</v>
      </c>
      <c r="F445" s="728">
        <v>81924</v>
      </c>
      <c r="G445" s="366">
        <f>F445/E445*100</f>
        <v>100</v>
      </c>
      <c r="H445" s="442">
        <f>G445/100</f>
        <v>1</v>
      </c>
      <c r="I445" s="368" t="s">
        <v>343</v>
      </c>
      <c r="J445" s="12" t="s">
        <v>23</v>
      </c>
      <c r="K445" s="369">
        <v>0</v>
      </c>
      <c r="L445" s="257">
        <v>0</v>
      </c>
      <c r="M445" s="13">
        <v>0</v>
      </c>
      <c r="N445" s="396">
        <v>0</v>
      </c>
      <c r="O445" s="288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7"/>
      <c r="CC445" s="127"/>
      <c r="CD445" s="127"/>
      <c r="CE445" s="127"/>
      <c r="CF445" s="127"/>
      <c r="CG445" s="127"/>
      <c r="CH445" s="127"/>
      <c r="CI445" s="127"/>
      <c r="CJ445" s="127"/>
      <c r="CK445" s="127"/>
      <c r="CL445" s="127"/>
      <c r="CM445" s="127"/>
      <c r="CN445" s="127"/>
      <c r="CO445" s="127"/>
      <c r="CP445" s="127"/>
      <c r="CQ445" s="127"/>
      <c r="CR445" s="127"/>
      <c r="CS445" s="127"/>
      <c r="CT445" s="127"/>
      <c r="CU445" s="127"/>
      <c r="CV445" s="127"/>
      <c r="CW445" s="127"/>
      <c r="CX445" s="127"/>
      <c r="CY445" s="127"/>
      <c r="CZ445" s="127"/>
      <c r="DA445" s="127"/>
      <c r="DB445" s="127"/>
      <c r="DC445" s="127"/>
      <c r="DD445" s="127"/>
      <c r="DE445" s="127"/>
      <c r="DF445" s="127"/>
      <c r="DG445" s="127"/>
      <c r="DH445" s="127"/>
      <c r="DI445" s="127"/>
      <c r="DJ445" s="127"/>
      <c r="DK445" s="127"/>
      <c r="DL445" s="127"/>
      <c r="DM445" s="127"/>
      <c r="DN445" s="127"/>
      <c r="DO445" s="127"/>
      <c r="DP445" s="127"/>
      <c r="DQ445" s="127"/>
      <c r="DR445" s="127"/>
      <c r="DS445" s="127"/>
      <c r="DT445" s="127"/>
      <c r="DU445" s="127"/>
      <c r="DV445" s="127"/>
      <c r="DW445" s="127"/>
      <c r="DX445" s="127"/>
      <c r="DY445" s="127"/>
      <c r="DZ445" s="127"/>
      <c r="EA445" s="127"/>
      <c r="EB445" s="127"/>
      <c r="EC445" s="127"/>
      <c r="ED445" s="127"/>
      <c r="EE445" s="127"/>
      <c r="EF445" s="127"/>
      <c r="EG445" s="127"/>
      <c r="EH445" s="127"/>
      <c r="EI445" s="127"/>
      <c r="EJ445" s="127"/>
      <c r="EK445" s="127"/>
      <c r="EL445" s="127"/>
      <c r="EM445" s="127"/>
      <c r="EN445" s="127"/>
    </row>
    <row r="446" spans="1:145" s="14" customFormat="1" ht="45.75" customHeight="1">
      <c r="A446" s="9"/>
      <c r="B446" s="10"/>
      <c r="C446" s="352"/>
      <c r="D446" s="10"/>
      <c r="E446" s="298"/>
      <c r="F446" s="298"/>
      <c r="G446" s="691"/>
      <c r="H446" s="442"/>
      <c r="I446" s="368" t="s">
        <v>344</v>
      </c>
      <c r="J446" s="12" t="s">
        <v>23</v>
      </c>
      <c r="K446" s="369">
        <v>0</v>
      </c>
      <c r="L446" s="257">
        <v>0</v>
      </c>
      <c r="M446" s="13">
        <v>0</v>
      </c>
      <c r="N446" s="396">
        <v>0</v>
      </c>
      <c r="O446" s="288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7"/>
      <c r="CC446" s="127"/>
      <c r="CD446" s="127"/>
      <c r="CE446" s="127"/>
      <c r="CF446" s="127"/>
      <c r="CG446" s="127"/>
      <c r="CH446" s="127"/>
      <c r="CI446" s="127"/>
      <c r="CJ446" s="127"/>
      <c r="CK446" s="127"/>
      <c r="CL446" s="127"/>
      <c r="CM446" s="127"/>
      <c r="CN446" s="127"/>
      <c r="CO446" s="127"/>
      <c r="CP446" s="127"/>
      <c r="CQ446" s="127"/>
      <c r="CR446" s="127"/>
      <c r="CS446" s="127"/>
      <c r="CT446" s="127"/>
      <c r="CU446" s="127"/>
      <c r="CV446" s="127"/>
      <c r="CW446" s="127"/>
      <c r="CX446" s="127"/>
      <c r="CY446" s="127"/>
      <c r="CZ446" s="127"/>
      <c r="DA446" s="127"/>
      <c r="DB446" s="127"/>
      <c r="DC446" s="127"/>
      <c r="DD446" s="127"/>
      <c r="DE446" s="127"/>
      <c r="DF446" s="127"/>
      <c r="DG446" s="127"/>
      <c r="DH446" s="127"/>
      <c r="DI446" s="127"/>
      <c r="DJ446" s="127"/>
      <c r="DK446" s="127"/>
      <c r="DL446" s="127"/>
      <c r="DM446" s="127"/>
      <c r="DN446" s="127"/>
      <c r="DO446" s="127"/>
      <c r="DP446" s="127"/>
      <c r="DQ446" s="127"/>
      <c r="DR446" s="127"/>
      <c r="DS446" s="127"/>
      <c r="DT446" s="127"/>
      <c r="DU446" s="127"/>
      <c r="DV446" s="127"/>
      <c r="DW446" s="127"/>
      <c r="DX446" s="127"/>
      <c r="DY446" s="127"/>
      <c r="DZ446" s="127"/>
      <c r="EA446" s="127"/>
      <c r="EB446" s="127"/>
      <c r="EC446" s="127"/>
      <c r="ED446" s="127"/>
      <c r="EE446" s="127"/>
      <c r="EF446" s="127"/>
      <c r="EG446" s="127"/>
      <c r="EH446" s="127"/>
      <c r="EI446" s="127"/>
      <c r="EJ446" s="127"/>
      <c r="EK446" s="127"/>
      <c r="EL446" s="127"/>
      <c r="EM446" s="127"/>
      <c r="EN446" s="127"/>
    </row>
    <row r="447" spans="1:145" s="173" customFormat="1" ht="25.5" customHeight="1">
      <c r="B447" s="87"/>
      <c r="C447" s="70" t="s">
        <v>24</v>
      </c>
      <c r="D447" s="87"/>
      <c r="E447" s="534">
        <f>E445</f>
        <v>81924</v>
      </c>
      <c r="F447" s="534">
        <f>F445</f>
        <v>81924</v>
      </c>
      <c r="G447" s="701">
        <f t="shared" ref="G447" si="32">F447/E447*100</f>
        <v>100</v>
      </c>
      <c r="H447" s="456">
        <f>G447/100</f>
        <v>1</v>
      </c>
      <c r="I447" s="174"/>
      <c r="J447" s="76"/>
      <c r="K447" s="281"/>
      <c r="L447" s="277"/>
      <c r="M447" s="62">
        <v>0</v>
      </c>
      <c r="N447" s="248">
        <v>0</v>
      </c>
      <c r="O447" s="293"/>
      <c r="P447" s="355"/>
      <c r="Q447" s="355"/>
      <c r="R447" s="355"/>
      <c r="S447" s="355"/>
      <c r="T447" s="355"/>
      <c r="U447" s="355"/>
      <c r="V447" s="355"/>
      <c r="W447" s="355"/>
      <c r="X447" s="177"/>
      <c r="Y447" s="177"/>
      <c r="Z447" s="177"/>
      <c r="AA447" s="177"/>
      <c r="AB447" s="235"/>
      <c r="AC447" s="235"/>
      <c r="AD447" s="235"/>
      <c r="AE447" s="235"/>
      <c r="AF447" s="235"/>
      <c r="AG447" s="235"/>
      <c r="AH447" s="235"/>
      <c r="AI447" s="235"/>
      <c r="AJ447" s="235"/>
      <c r="AK447" s="235"/>
      <c r="AL447" s="235"/>
      <c r="AM447" s="235"/>
      <c r="AN447" s="235"/>
      <c r="AO447" s="235"/>
      <c r="AP447" s="235"/>
      <c r="AQ447" s="235"/>
      <c r="AR447" s="235"/>
      <c r="AS447" s="235"/>
      <c r="AT447" s="235"/>
      <c r="AU447" s="235"/>
      <c r="AV447" s="235"/>
      <c r="AW447" s="235"/>
      <c r="AX447" s="235"/>
      <c r="AY447" s="235"/>
      <c r="AZ447" s="235"/>
      <c r="BA447" s="235"/>
      <c r="BB447" s="235"/>
      <c r="BC447" s="235"/>
      <c r="BD447" s="235"/>
      <c r="BE447" s="235"/>
      <c r="BF447" s="235"/>
      <c r="BG447" s="235"/>
      <c r="BH447" s="235"/>
      <c r="BI447" s="235"/>
      <c r="BJ447" s="235"/>
      <c r="BK447" s="235"/>
      <c r="BL447" s="235"/>
      <c r="BM447" s="235"/>
      <c r="BN447" s="235"/>
      <c r="BO447" s="235"/>
      <c r="BP447" s="235"/>
      <c r="BQ447" s="235"/>
      <c r="BR447" s="235"/>
      <c r="BS447" s="235"/>
      <c r="BT447" s="235"/>
      <c r="BU447" s="235"/>
      <c r="BV447" s="235"/>
      <c r="BW447" s="235"/>
      <c r="BX447" s="235"/>
      <c r="BY447" s="235"/>
      <c r="BZ447" s="235"/>
      <c r="CA447" s="235"/>
      <c r="CB447" s="235"/>
      <c r="CC447" s="235"/>
      <c r="CD447" s="235"/>
      <c r="CE447" s="235"/>
      <c r="CF447" s="235"/>
      <c r="CG447" s="235"/>
      <c r="CH447" s="235"/>
      <c r="CI447" s="235"/>
      <c r="CJ447" s="235"/>
      <c r="CK447" s="235"/>
      <c r="CL447" s="235"/>
      <c r="CM447" s="235"/>
      <c r="CN447" s="235"/>
      <c r="CO447" s="235"/>
      <c r="CP447" s="235"/>
      <c r="CQ447" s="235"/>
      <c r="CR447" s="235"/>
      <c r="CS447" s="235"/>
      <c r="CT447" s="235"/>
      <c r="CU447" s="235"/>
      <c r="CV447" s="235"/>
      <c r="CW447" s="235"/>
      <c r="CX447" s="235"/>
      <c r="CY447" s="235"/>
      <c r="CZ447" s="235"/>
      <c r="DA447" s="235"/>
      <c r="DB447" s="235"/>
      <c r="DC447" s="235"/>
      <c r="DD447" s="235"/>
      <c r="DE447" s="235"/>
      <c r="DF447" s="235"/>
      <c r="DG447" s="235"/>
      <c r="DH447" s="235"/>
      <c r="DI447" s="235"/>
      <c r="DJ447" s="235"/>
      <c r="DK447" s="235"/>
      <c r="DL447" s="235"/>
      <c r="DM447" s="235"/>
      <c r="DN447" s="235"/>
      <c r="DO447" s="235"/>
      <c r="DP447" s="235"/>
      <c r="DQ447" s="235"/>
      <c r="DR447" s="235"/>
      <c r="DS447" s="235"/>
      <c r="DT447" s="235"/>
      <c r="DU447" s="235"/>
      <c r="DV447" s="235"/>
      <c r="DW447" s="235"/>
      <c r="DX447" s="235"/>
      <c r="DY447" s="235"/>
      <c r="DZ447" s="235"/>
      <c r="EA447" s="235"/>
      <c r="EB447" s="235"/>
      <c r="EC447" s="235"/>
      <c r="ED447" s="235"/>
      <c r="EE447" s="235"/>
      <c r="EF447" s="235"/>
      <c r="EG447" s="235"/>
      <c r="EH447" s="235"/>
      <c r="EI447" s="235"/>
      <c r="EJ447" s="235"/>
      <c r="EK447" s="235"/>
      <c r="EL447" s="235"/>
      <c r="EM447" s="235"/>
      <c r="EN447" s="235"/>
      <c r="EO447" s="233"/>
    </row>
    <row r="448" spans="1:145" s="354" customFormat="1" ht="43.5" customHeight="1">
      <c r="B448" s="360" t="s">
        <v>759</v>
      </c>
      <c r="C448" s="796" t="s">
        <v>282</v>
      </c>
      <c r="D448" s="797"/>
      <c r="E448" s="797"/>
      <c r="F448" s="797"/>
      <c r="G448" s="797"/>
      <c r="H448" s="797"/>
      <c r="I448" s="797"/>
      <c r="J448" s="797"/>
      <c r="K448" s="797"/>
      <c r="L448" s="797"/>
      <c r="M448" s="797"/>
      <c r="N448" s="798"/>
      <c r="O448" s="288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7"/>
      <c r="CE448" s="127"/>
      <c r="CF448" s="127"/>
      <c r="CG448" s="127"/>
      <c r="CH448" s="127"/>
      <c r="CI448" s="127"/>
      <c r="CJ448" s="127"/>
      <c r="CK448" s="127"/>
      <c r="CL448" s="127"/>
      <c r="CM448" s="127"/>
      <c r="CN448" s="127"/>
      <c r="CO448" s="127"/>
      <c r="CP448" s="127"/>
      <c r="CQ448" s="127"/>
      <c r="CR448" s="127"/>
      <c r="CS448" s="127"/>
      <c r="CT448" s="127"/>
      <c r="CU448" s="127"/>
      <c r="CV448" s="127"/>
      <c r="CW448" s="127"/>
      <c r="CX448" s="127"/>
      <c r="CY448" s="127"/>
      <c r="CZ448" s="127"/>
      <c r="DA448" s="127"/>
      <c r="DB448" s="127"/>
      <c r="DC448" s="127"/>
      <c r="DD448" s="127"/>
      <c r="DE448" s="127"/>
      <c r="DF448" s="127"/>
      <c r="DG448" s="127"/>
      <c r="DH448" s="127"/>
      <c r="DI448" s="127"/>
      <c r="DJ448" s="127"/>
      <c r="DK448" s="127"/>
      <c r="DL448" s="127"/>
      <c r="DM448" s="127"/>
      <c r="DN448" s="127"/>
      <c r="DO448" s="127"/>
      <c r="DP448" s="127"/>
      <c r="DQ448" s="127"/>
      <c r="DR448" s="127"/>
      <c r="DS448" s="127"/>
      <c r="DT448" s="127"/>
      <c r="DU448" s="127"/>
      <c r="DV448" s="127"/>
      <c r="DW448" s="127"/>
      <c r="DX448" s="127"/>
      <c r="DY448" s="127"/>
      <c r="DZ448" s="127"/>
      <c r="EA448" s="127"/>
      <c r="EB448" s="127"/>
      <c r="EC448" s="127"/>
      <c r="ED448" s="127"/>
      <c r="EE448" s="127"/>
      <c r="EF448" s="127"/>
      <c r="EG448" s="127"/>
      <c r="EH448" s="127"/>
      <c r="EI448" s="127"/>
      <c r="EJ448" s="127"/>
      <c r="EK448" s="127"/>
      <c r="EL448" s="127"/>
      <c r="EM448" s="127"/>
      <c r="EN448" s="127"/>
    </row>
    <row r="449" spans="1:144" s="113" customFormat="1" ht="43.5" customHeight="1">
      <c r="B449" s="35"/>
      <c r="C449" s="799" t="s">
        <v>470</v>
      </c>
      <c r="D449" s="800"/>
      <c r="E449" s="800"/>
      <c r="F449" s="800"/>
      <c r="G449" s="800"/>
      <c r="H449" s="800"/>
      <c r="I449" s="800"/>
      <c r="J449" s="800"/>
      <c r="K449" s="800"/>
      <c r="L449" s="800"/>
      <c r="M449" s="800"/>
      <c r="N449" s="801"/>
      <c r="O449" s="288"/>
      <c r="P449" s="382"/>
      <c r="Q449" s="382"/>
      <c r="R449" s="382"/>
      <c r="S449" s="382"/>
      <c r="T449" s="382"/>
      <c r="U449" s="382"/>
      <c r="V449" s="382"/>
      <c r="W449" s="382"/>
      <c r="X449" s="355"/>
      <c r="Y449" s="355"/>
      <c r="Z449" s="355"/>
      <c r="AA449" s="355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  <c r="CW449" s="127"/>
      <c r="CX449" s="127"/>
      <c r="CY449" s="127"/>
      <c r="CZ449" s="127"/>
      <c r="DA449" s="127"/>
      <c r="DB449" s="127"/>
      <c r="DC449" s="127"/>
      <c r="DD449" s="127"/>
      <c r="DE449" s="127"/>
      <c r="DF449" s="127"/>
      <c r="DG449" s="127"/>
      <c r="DH449" s="127"/>
      <c r="DI449" s="127"/>
      <c r="DJ449" s="127"/>
      <c r="DK449" s="127"/>
      <c r="DL449" s="127"/>
      <c r="DM449" s="127"/>
      <c r="DN449" s="127"/>
      <c r="DO449" s="127"/>
      <c r="DP449" s="127"/>
      <c r="DQ449" s="127"/>
      <c r="DR449" s="127"/>
      <c r="DS449" s="127"/>
      <c r="DT449" s="127"/>
      <c r="DU449" s="127"/>
      <c r="DV449" s="127"/>
      <c r="DW449" s="127"/>
      <c r="DX449" s="127"/>
      <c r="DY449" s="127"/>
      <c r="DZ449" s="127"/>
      <c r="EA449" s="127"/>
      <c r="EB449" s="127"/>
      <c r="EC449" s="127"/>
      <c r="ED449" s="127"/>
      <c r="EE449" s="127"/>
      <c r="EF449" s="127"/>
      <c r="EG449" s="127"/>
      <c r="EH449" s="127"/>
      <c r="EI449" s="127"/>
      <c r="EJ449" s="127"/>
      <c r="EK449" s="127"/>
      <c r="EL449" s="127"/>
      <c r="EM449" s="127"/>
      <c r="EN449" s="127"/>
    </row>
    <row r="450" spans="1:144" ht="18.75" customHeight="1">
      <c r="A450" s="7"/>
      <c r="B450" s="8"/>
      <c r="C450" s="785" t="s">
        <v>471</v>
      </c>
      <c r="D450" s="786"/>
      <c r="E450" s="786"/>
      <c r="F450" s="786"/>
      <c r="G450" s="786"/>
      <c r="H450" s="786"/>
      <c r="I450" s="786"/>
      <c r="J450" s="786"/>
      <c r="K450" s="786"/>
      <c r="L450" s="786"/>
      <c r="M450" s="786"/>
      <c r="N450" s="787"/>
    </row>
    <row r="451" spans="1:144" ht="18.75" customHeight="1">
      <c r="A451" s="7"/>
      <c r="B451" s="8"/>
      <c r="C451" s="785" t="s">
        <v>472</v>
      </c>
      <c r="D451" s="786"/>
      <c r="E451" s="786"/>
      <c r="F451" s="786"/>
      <c r="G451" s="786"/>
      <c r="H451" s="786"/>
      <c r="I451" s="786"/>
      <c r="J451" s="786"/>
      <c r="K451" s="786"/>
      <c r="L451" s="786"/>
      <c r="M451" s="786"/>
      <c r="N451" s="787"/>
    </row>
    <row r="452" spans="1:144" ht="18.75" customHeight="1">
      <c r="A452" s="7"/>
      <c r="B452" s="8"/>
      <c r="C452" s="785" t="s">
        <v>473</v>
      </c>
      <c r="D452" s="786"/>
      <c r="E452" s="786"/>
      <c r="F452" s="786"/>
      <c r="G452" s="786"/>
      <c r="H452" s="786"/>
      <c r="I452" s="786"/>
      <c r="J452" s="786"/>
      <c r="K452" s="786"/>
      <c r="L452" s="786"/>
      <c r="M452" s="786"/>
      <c r="N452" s="787"/>
    </row>
    <row r="453" spans="1:144" ht="18.75" customHeight="1">
      <c r="A453" s="7"/>
      <c r="B453" s="8"/>
      <c r="C453" s="785" t="s">
        <v>474</v>
      </c>
      <c r="D453" s="786"/>
      <c r="E453" s="786"/>
      <c r="F453" s="786"/>
      <c r="G453" s="786"/>
      <c r="H453" s="786"/>
      <c r="I453" s="786"/>
      <c r="J453" s="786"/>
      <c r="K453" s="786"/>
      <c r="L453" s="786"/>
      <c r="M453" s="786"/>
      <c r="N453" s="787"/>
    </row>
    <row r="454" spans="1:144" s="14" customFormat="1" ht="87.75" customHeight="1">
      <c r="A454" s="9"/>
      <c r="B454" s="10" t="s">
        <v>760</v>
      </c>
      <c r="C454" s="367" t="s">
        <v>732</v>
      </c>
      <c r="D454" s="10" t="s">
        <v>331</v>
      </c>
      <c r="E454" s="728">
        <v>408700</v>
      </c>
      <c r="F454" s="728">
        <v>405655.1</v>
      </c>
      <c r="G454" s="366">
        <f>F454/E454*100</f>
        <v>99.254979202348906</v>
      </c>
      <c r="H454" s="399">
        <v>1</v>
      </c>
      <c r="I454" s="700" t="s">
        <v>733</v>
      </c>
      <c r="J454" s="695" t="s">
        <v>565</v>
      </c>
      <c r="K454" s="695">
        <v>1</v>
      </c>
      <c r="L454" s="695">
        <v>1</v>
      </c>
      <c r="M454" s="13">
        <f>L454/K454*100</f>
        <v>100</v>
      </c>
      <c r="N454" s="396">
        <f>M454/100</f>
        <v>1</v>
      </c>
      <c r="O454" s="288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7"/>
      <c r="CC454" s="127"/>
      <c r="CD454" s="127"/>
      <c r="CE454" s="127"/>
      <c r="CF454" s="127"/>
      <c r="CG454" s="127"/>
      <c r="CH454" s="127"/>
      <c r="CI454" s="127"/>
      <c r="CJ454" s="127"/>
      <c r="CK454" s="127"/>
      <c r="CL454" s="127"/>
      <c r="CM454" s="127"/>
      <c r="CN454" s="127"/>
      <c r="CO454" s="127"/>
      <c r="CP454" s="127"/>
      <c r="CQ454" s="127"/>
      <c r="CR454" s="127"/>
      <c r="CS454" s="127"/>
      <c r="CT454" s="127"/>
      <c r="CU454" s="127"/>
      <c r="CV454" s="127"/>
      <c r="CW454" s="127"/>
      <c r="CX454" s="127"/>
      <c r="CY454" s="127"/>
      <c r="CZ454" s="127"/>
      <c r="DA454" s="127"/>
      <c r="DB454" s="127"/>
      <c r="DC454" s="127"/>
      <c r="DD454" s="127"/>
      <c r="DE454" s="127"/>
      <c r="DF454" s="127"/>
      <c r="DG454" s="127"/>
      <c r="DH454" s="127"/>
      <c r="DI454" s="127"/>
      <c r="DJ454" s="127"/>
      <c r="DK454" s="127"/>
      <c r="DL454" s="127"/>
      <c r="DM454" s="127"/>
      <c r="DN454" s="127"/>
      <c r="DO454" s="127"/>
      <c r="DP454" s="127"/>
      <c r="DQ454" s="127"/>
      <c r="DR454" s="127"/>
      <c r="DS454" s="127"/>
      <c r="DT454" s="127"/>
      <c r="DU454" s="127"/>
      <c r="DV454" s="127"/>
      <c r="DW454" s="127"/>
      <c r="DX454" s="127"/>
      <c r="DY454" s="127"/>
      <c r="DZ454" s="127"/>
      <c r="EA454" s="127"/>
      <c r="EB454" s="127"/>
      <c r="EC454" s="127"/>
      <c r="ED454" s="127"/>
      <c r="EE454" s="127"/>
      <c r="EF454" s="127"/>
      <c r="EG454" s="127"/>
      <c r="EH454" s="127"/>
      <c r="EI454" s="127"/>
      <c r="EJ454" s="127"/>
      <c r="EK454" s="127"/>
      <c r="EL454" s="127"/>
      <c r="EM454" s="127"/>
      <c r="EN454" s="127"/>
    </row>
    <row r="455" spans="1:144" s="14" customFormat="1" ht="79.5" customHeight="1">
      <c r="A455" s="9"/>
      <c r="B455" s="10" t="s">
        <v>761</v>
      </c>
      <c r="C455" s="367"/>
      <c r="D455" s="10"/>
      <c r="E455" s="298"/>
      <c r="F455" s="298"/>
      <c r="G455" s="435"/>
      <c r="H455" s="435"/>
      <c r="I455" s="700" t="s">
        <v>734</v>
      </c>
      <c r="J455" s="695" t="s">
        <v>12</v>
      </c>
      <c r="K455" s="695">
        <v>15</v>
      </c>
      <c r="L455" s="695">
        <v>15</v>
      </c>
      <c r="M455" s="13">
        <f t="shared" ref="M455:M458" si="33">L455/K455*100</f>
        <v>100</v>
      </c>
      <c r="N455" s="598">
        <f t="shared" ref="N455:N458" si="34">M455/100</f>
        <v>1</v>
      </c>
      <c r="O455" s="288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7"/>
      <c r="CD455" s="127"/>
      <c r="CE455" s="127"/>
      <c r="CF455" s="127"/>
      <c r="CG455" s="127"/>
      <c r="CH455" s="127"/>
      <c r="CI455" s="127"/>
      <c r="CJ455" s="127"/>
      <c r="CK455" s="127"/>
      <c r="CL455" s="127"/>
      <c r="CM455" s="127"/>
      <c r="CN455" s="127"/>
      <c r="CO455" s="127"/>
      <c r="CP455" s="127"/>
      <c r="CQ455" s="127"/>
      <c r="CR455" s="127"/>
      <c r="CS455" s="127"/>
      <c r="CT455" s="127"/>
      <c r="CU455" s="127"/>
      <c r="CV455" s="127"/>
      <c r="CW455" s="127"/>
      <c r="CX455" s="127"/>
      <c r="CY455" s="127"/>
      <c r="CZ455" s="127"/>
      <c r="DA455" s="127"/>
      <c r="DB455" s="127"/>
      <c r="DC455" s="127"/>
      <c r="DD455" s="127"/>
      <c r="DE455" s="127"/>
      <c r="DF455" s="127"/>
      <c r="DG455" s="127"/>
      <c r="DH455" s="127"/>
      <c r="DI455" s="127"/>
      <c r="DJ455" s="127"/>
      <c r="DK455" s="127"/>
      <c r="DL455" s="127"/>
      <c r="DM455" s="127"/>
      <c r="DN455" s="127"/>
      <c r="DO455" s="127"/>
      <c r="DP455" s="127"/>
      <c r="DQ455" s="127"/>
      <c r="DR455" s="127"/>
      <c r="DS455" s="127"/>
      <c r="DT455" s="127"/>
      <c r="DU455" s="127"/>
      <c r="DV455" s="127"/>
      <c r="DW455" s="127"/>
      <c r="DX455" s="127"/>
      <c r="DY455" s="127"/>
      <c r="DZ455" s="127"/>
      <c r="EA455" s="127"/>
      <c r="EB455" s="127"/>
      <c r="EC455" s="127"/>
      <c r="ED455" s="127"/>
      <c r="EE455" s="127"/>
      <c r="EF455" s="127"/>
      <c r="EG455" s="127"/>
      <c r="EH455" s="127"/>
      <c r="EI455" s="127"/>
      <c r="EJ455" s="127"/>
      <c r="EK455" s="127"/>
      <c r="EL455" s="127"/>
      <c r="EM455" s="127"/>
      <c r="EN455" s="127"/>
    </row>
    <row r="456" spans="1:144" s="14" customFormat="1" ht="79.5" customHeight="1">
      <c r="A456" s="9"/>
      <c r="B456" s="10" t="s">
        <v>762</v>
      </c>
      <c r="C456" s="367"/>
      <c r="D456" s="10"/>
      <c r="E456" s="298"/>
      <c r="F456" s="298"/>
      <c r="G456" s="691"/>
      <c r="H456" s="691"/>
      <c r="I456" s="700" t="s">
        <v>735</v>
      </c>
      <c r="J456" s="695" t="s">
        <v>738</v>
      </c>
      <c r="K456" s="695">
        <v>4.5</v>
      </c>
      <c r="L456" s="695">
        <v>4.5</v>
      </c>
      <c r="M456" s="13">
        <f t="shared" si="33"/>
        <v>100</v>
      </c>
      <c r="N456" s="598">
        <f t="shared" si="34"/>
        <v>1</v>
      </c>
      <c r="O456" s="288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7"/>
      <c r="CD456" s="127"/>
      <c r="CE456" s="127"/>
      <c r="CF456" s="127"/>
      <c r="CG456" s="127"/>
      <c r="CH456" s="127"/>
      <c r="CI456" s="127"/>
      <c r="CJ456" s="127"/>
      <c r="CK456" s="127"/>
      <c r="CL456" s="127"/>
      <c r="CM456" s="127"/>
      <c r="CN456" s="127"/>
      <c r="CO456" s="127"/>
      <c r="CP456" s="127"/>
      <c r="CQ456" s="127"/>
      <c r="CR456" s="127"/>
      <c r="CS456" s="127"/>
      <c r="CT456" s="127"/>
      <c r="CU456" s="127"/>
      <c r="CV456" s="127"/>
      <c r="CW456" s="127"/>
      <c r="CX456" s="127"/>
      <c r="CY456" s="127"/>
      <c r="CZ456" s="127"/>
      <c r="DA456" s="127"/>
      <c r="DB456" s="127"/>
      <c r="DC456" s="127"/>
      <c r="DD456" s="127"/>
      <c r="DE456" s="127"/>
      <c r="DF456" s="127"/>
      <c r="DG456" s="127"/>
      <c r="DH456" s="127"/>
      <c r="DI456" s="127"/>
      <c r="DJ456" s="127"/>
      <c r="DK456" s="127"/>
      <c r="DL456" s="127"/>
      <c r="DM456" s="127"/>
      <c r="DN456" s="127"/>
      <c r="DO456" s="127"/>
      <c r="DP456" s="127"/>
      <c r="DQ456" s="127"/>
      <c r="DR456" s="127"/>
      <c r="DS456" s="127"/>
      <c r="DT456" s="127"/>
      <c r="DU456" s="127"/>
      <c r="DV456" s="127"/>
      <c r="DW456" s="127"/>
      <c r="DX456" s="127"/>
      <c r="DY456" s="127"/>
      <c r="DZ456" s="127"/>
      <c r="EA456" s="127"/>
      <c r="EB456" s="127"/>
      <c r="EC456" s="127"/>
      <c r="ED456" s="127"/>
      <c r="EE456" s="127"/>
      <c r="EF456" s="127"/>
      <c r="EG456" s="127"/>
      <c r="EH456" s="127"/>
      <c r="EI456" s="127"/>
      <c r="EJ456" s="127"/>
      <c r="EK456" s="127"/>
      <c r="EL456" s="127"/>
      <c r="EM456" s="127"/>
      <c r="EN456" s="127"/>
    </row>
    <row r="457" spans="1:144" s="14" customFormat="1" ht="79.5" customHeight="1">
      <c r="A457" s="9"/>
      <c r="B457" s="10" t="s">
        <v>763</v>
      </c>
      <c r="C457" s="367"/>
      <c r="D457" s="10"/>
      <c r="E457" s="298"/>
      <c r="F457" s="298"/>
      <c r="G457" s="691"/>
      <c r="H457" s="691"/>
      <c r="I457" s="700" t="s">
        <v>736</v>
      </c>
      <c r="J457" s="695" t="s">
        <v>12</v>
      </c>
      <c r="K457" s="695">
        <v>100</v>
      </c>
      <c r="L457" s="695">
        <v>100</v>
      </c>
      <c r="M457" s="13">
        <f t="shared" si="33"/>
        <v>100</v>
      </c>
      <c r="N457" s="598">
        <f t="shared" si="34"/>
        <v>1</v>
      </c>
      <c r="O457" s="288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7"/>
      <c r="CD457" s="127"/>
      <c r="CE457" s="127"/>
      <c r="CF457" s="127"/>
      <c r="CG457" s="127"/>
      <c r="CH457" s="127"/>
      <c r="CI457" s="127"/>
      <c r="CJ457" s="127"/>
      <c r="CK457" s="127"/>
      <c r="CL457" s="127"/>
      <c r="CM457" s="127"/>
      <c r="CN457" s="127"/>
      <c r="CO457" s="127"/>
      <c r="CP457" s="127"/>
      <c r="CQ457" s="127"/>
      <c r="CR457" s="127"/>
      <c r="CS457" s="127"/>
      <c r="CT457" s="127"/>
      <c r="CU457" s="127"/>
      <c r="CV457" s="127"/>
      <c r="CW457" s="127"/>
      <c r="CX457" s="127"/>
      <c r="CY457" s="127"/>
      <c r="CZ457" s="127"/>
      <c r="DA457" s="127"/>
      <c r="DB457" s="127"/>
      <c r="DC457" s="127"/>
      <c r="DD457" s="127"/>
      <c r="DE457" s="127"/>
      <c r="DF457" s="127"/>
      <c r="DG457" s="127"/>
      <c r="DH457" s="127"/>
      <c r="DI457" s="127"/>
      <c r="DJ457" s="127"/>
      <c r="DK457" s="127"/>
      <c r="DL457" s="127"/>
      <c r="DM457" s="127"/>
      <c r="DN457" s="127"/>
      <c r="DO457" s="127"/>
      <c r="DP457" s="127"/>
      <c r="DQ457" s="127"/>
      <c r="DR457" s="127"/>
      <c r="DS457" s="127"/>
      <c r="DT457" s="127"/>
      <c r="DU457" s="127"/>
      <c r="DV457" s="127"/>
      <c r="DW457" s="127"/>
      <c r="DX457" s="127"/>
      <c r="DY457" s="127"/>
      <c r="DZ457" s="127"/>
      <c r="EA457" s="127"/>
      <c r="EB457" s="127"/>
      <c r="EC457" s="127"/>
      <c r="ED457" s="127"/>
      <c r="EE457" s="127"/>
      <c r="EF457" s="127"/>
      <c r="EG457" s="127"/>
      <c r="EH457" s="127"/>
      <c r="EI457" s="127"/>
      <c r="EJ457" s="127"/>
      <c r="EK457" s="127"/>
      <c r="EL457" s="127"/>
      <c r="EM457" s="127"/>
      <c r="EN457" s="127"/>
    </row>
    <row r="458" spans="1:144" s="14" customFormat="1" ht="79.5" customHeight="1">
      <c r="A458" s="9"/>
      <c r="B458" s="10" t="s">
        <v>764</v>
      </c>
      <c r="C458" s="367"/>
      <c r="D458" s="10"/>
      <c r="E458" s="298"/>
      <c r="F458" s="298"/>
      <c r="G458" s="691"/>
      <c r="H458" s="691"/>
      <c r="I458" s="700" t="s">
        <v>737</v>
      </c>
      <c r="J458" s="695" t="s">
        <v>12</v>
      </c>
      <c r="K458" s="695">
        <v>100</v>
      </c>
      <c r="L458" s="695">
        <v>100</v>
      </c>
      <c r="M458" s="13">
        <f t="shared" si="33"/>
        <v>100</v>
      </c>
      <c r="N458" s="598">
        <f t="shared" si="34"/>
        <v>1</v>
      </c>
      <c r="O458" s="288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7"/>
      <c r="CD458" s="127"/>
      <c r="CE458" s="127"/>
      <c r="CF458" s="127"/>
      <c r="CG458" s="127"/>
      <c r="CH458" s="127"/>
      <c r="CI458" s="127"/>
      <c r="CJ458" s="127"/>
      <c r="CK458" s="127"/>
      <c r="CL458" s="127"/>
      <c r="CM458" s="127"/>
      <c r="CN458" s="127"/>
      <c r="CO458" s="127"/>
      <c r="CP458" s="127"/>
      <c r="CQ458" s="127"/>
      <c r="CR458" s="127"/>
      <c r="CS458" s="127"/>
      <c r="CT458" s="127"/>
      <c r="CU458" s="127"/>
      <c r="CV458" s="127"/>
      <c r="CW458" s="127"/>
      <c r="CX458" s="127"/>
      <c r="CY458" s="127"/>
      <c r="CZ458" s="127"/>
      <c r="DA458" s="127"/>
      <c r="DB458" s="127"/>
      <c r="DC458" s="127"/>
      <c r="DD458" s="127"/>
      <c r="DE458" s="127"/>
      <c r="DF458" s="127"/>
      <c r="DG458" s="127"/>
      <c r="DH458" s="127"/>
      <c r="DI458" s="127"/>
      <c r="DJ458" s="127"/>
      <c r="DK458" s="127"/>
      <c r="DL458" s="127"/>
      <c r="DM458" s="127"/>
      <c r="DN458" s="127"/>
      <c r="DO458" s="127"/>
      <c r="DP458" s="127"/>
      <c r="DQ458" s="127"/>
      <c r="DR458" s="127"/>
      <c r="DS458" s="127"/>
      <c r="DT458" s="127"/>
      <c r="DU458" s="127"/>
      <c r="DV458" s="127"/>
      <c r="DW458" s="127"/>
      <c r="DX458" s="127"/>
      <c r="DY458" s="127"/>
      <c r="DZ458" s="127"/>
      <c r="EA458" s="127"/>
      <c r="EB458" s="127"/>
      <c r="EC458" s="127"/>
      <c r="ED458" s="127"/>
      <c r="EE458" s="127"/>
      <c r="EF458" s="127"/>
      <c r="EG458" s="127"/>
      <c r="EH458" s="127"/>
      <c r="EI458" s="127"/>
      <c r="EJ458" s="127"/>
      <c r="EK458" s="127"/>
      <c r="EL458" s="127"/>
      <c r="EM458" s="127"/>
      <c r="EN458" s="127"/>
    </row>
    <row r="459" spans="1:144" s="178" customFormat="1" ht="27" customHeight="1">
      <c r="A459" s="175"/>
      <c r="B459" s="176"/>
      <c r="C459" s="16" t="s">
        <v>162</v>
      </c>
      <c r="D459" s="417"/>
      <c r="E459" s="552">
        <f>SUM(E454:E455)</f>
        <v>408700</v>
      </c>
      <c r="F459" s="552">
        <f>SUM(F454:F455)</f>
        <v>405655.1</v>
      </c>
      <c r="G459" s="482">
        <f>(F459/E459)*100</f>
        <v>99.254979202348906</v>
      </c>
      <c r="H459" s="456">
        <v>1</v>
      </c>
      <c r="I459" s="16"/>
      <c r="J459" s="25"/>
      <c r="K459" s="282"/>
      <c r="L459" s="282"/>
      <c r="M459" s="25">
        <f>(M454+M455+M456+M457+M458)/5</f>
        <v>100</v>
      </c>
      <c r="N459" s="764">
        <v>1</v>
      </c>
      <c r="O459" s="293"/>
      <c r="P459" s="58"/>
      <c r="Q459" s="58"/>
      <c r="R459" s="58"/>
      <c r="S459" s="58"/>
      <c r="T459" s="58"/>
      <c r="U459" s="58"/>
      <c r="V459" s="58"/>
      <c r="W459" s="58"/>
      <c r="X459" s="177"/>
      <c r="Y459" s="177"/>
      <c r="Z459" s="177"/>
      <c r="AA459" s="177"/>
      <c r="AB459" s="235"/>
      <c r="AC459" s="235"/>
      <c r="AD459" s="235"/>
      <c r="AE459" s="235"/>
      <c r="AF459" s="235"/>
      <c r="AG459" s="235"/>
      <c r="AH459" s="235"/>
      <c r="AI459" s="235"/>
      <c r="AJ459" s="235"/>
      <c r="AK459" s="235"/>
      <c r="AL459" s="235"/>
      <c r="AM459" s="235"/>
      <c r="AN459" s="235"/>
      <c r="AO459" s="235"/>
      <c r="AP459" s="235"/>
      <c r="AQ459" s="235"/>
      <c r="AR459" s="235"/>
      <c r="AS459" s="235"/>
      <c r="AT459" s="235"/>
      <c r="AU459" s="235"/>
      <c r="AV459" s="235"/>
      <c r="AW459" s="235"/>
      <c r="AX459" s="235"/>
      <c r="AY459" s="235"/>
      <c r="AZ459" s="235"/>
      <c r="BA459" s="235"/>
      <c r="BB459" s="235"/>
      <c r="BC459" s="235"/>
      <c r="BD459" s="235"/>
      <c r="BE459" s="235"/>
      <c r="BF459" s="235"/>
      <c r="BG459" s="235"/>
      <c r="BH459" s="235"/>
      <c r="BI459" s="235"/>
      <c r="BJ459" s="235"/>
      <c r="BK459" s="235"/>
      <c r="BL459" s="235"/>
      <c r="BM459" s="235"/>
      <c r="BN459" s="235"/>
      <c r="BO459" s="235"/>
      <c r="BP459" s="235"/>
      <c r="BQ459" s="235"/>
      <c r="BR459" s="235"/>
      <c r="BS459" s="235"/>
      <c r="BT459" s="235"/>
      <c r="BU459" s="235"/>
      <c r="BV459" s="235"/>
      <c r="BW459" s="235"/>
      <c r="BX459" s="235"/>
      <c r="BY459" s="235"/>
      <c r="BZ459" s="235"/>
      <c r="CA459" s="235"/>
      <c r="CB459" s="235"/>
      <c r="CC459" s="235"/>
      <c r="CD459" s="235"/>
      <c r="CE459" s="235"/>
      <c r="CF459" s="235"/>
      <c r="CG459" s="235"/>
      <c r="CH459" s="235"/>
      <c r="CI459" s="235"/>
      <c r="CJ459" s="235"/>
      <c r="CK459" s="235"/>
      <c r="CL459" s="235"/>
      <c r="CM459" s="235"/>
      <c r="CN459" s="235"/>
      <c r="CO459" s="235"/>
      <c r="CP459" s="235"/>
      <c r="CQ459" s="235"/>
      <c r="CR459" s="235"/>
      <c r="CS459" s="235"/>
      <c r="CT459" s="235"/>
      <c r="CU459" s="235"/>
      <c r="CV459" s="235"/>
      <c r="CW459" s="235"/>
      <c r="CX459" s="235"/>
      <c r="CY459" s="235"/>
      <c r="CZ459" s="235"/>
      <c r="DA459" s="235"/>
      <c r="DB459" s="235"/>
      <c r="DC459" s="235"/>
      <c r="DD459" s="235"/>
      <c r="DE459" s="235"/>
      <c r="DF459" s="235"/>
      <c r="DG459" s="235"/>
      <c r="DH459" s="235"/>
      <c r="DI459" s="235"/>
      <c r="DJ459" s="235"/>
      <c r="DK459" s="235"/>
      <c r="DL459" s="235"/>
      <c r="DM459" s="235"/>
      <c r="DN459" s="235"/>
      <c r="DO459" s="235"/>
      <c r="DP459" s="235"/>
      <c r="DQ459" s="235"/>
      <c r="DR459" s="235"/>
      <c r="DS459" s="235"/>
      <c r="DT459" s="235"/>
      <c r="DU459" s="235"/>
      <c r="DV459" s="235"/>
      <c r="DW459" s="235"/>
      <c r="DX459" s="235"/>
      <c r="DY459" s="235"/>
      <c r="DZ459" s="235"/>
      <c r="EA459" s="235"/>
      <c r="EB459" s="235"/>
      <c r="EC459" s="235"/>
      <c r="ED459" s="235"/>
      <c r="EE459" s="235"/>
      <c r="EF459" s="235"/>
      <c r="EG459" s="235"/>
      <c r="EH459" s="235"/>
      <c r="EI459" s="235"/>
      <c r="EJ459" s="235"/>
      <c r="EK459" s="235"/>
      <c r="EL459" s="235"/>
      <c r="EM459" s="235"/>
      <c r="EN459" s="235"/>
    </row>
    <row r="460" spans="1:144" s="64" customFormat="1" ht="47.25" customHeight="1">
      <c r="B460" s="246" t="s">
        <v>765</v>
      </c>
      <c r="C460" s="370" t="s">
        <v>277</v>
      </c>
      <c r="D460" s="418"/>
      <c r="E460" s="371"/>
      <c r="F460" s="371"/>
      <c r="G460" s="425"/>
      <c r="H460" s="452"/>
      <c r="I460" s="371"/>
      <c r="J460" s="371"/>
      <c r="K460" s="371"/>
      <c r="L460" s="371"/>
      <c r="M460" s="371"/>
      <c r="N460" s="480"/>
      <c r="O460" s="28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</row>
    <row r="461" spans="1:144" s="65" customFormat="1" ht="21" customHeight="1">
      <c r="B461" s="42"/>
      <c r="C461" s="372" t="s">
        <v>339</v>
      </c>
      <c r="D461" s="419"/>
      <c r="E461" s="373"/>
      <c r="F461" s="373"/>
      <c r="G461" s="430"/>
      <c r="H461" s="453"/>
      <c r="I461" s="373"/>
      <c r="J461" s="373"/>
      <c r="K461" s="373"/>
      <c r="L461" s="373"/>
      <c r="M461" s="373"/>
      <c r="N461" s="373"/>
      <c r="O461" s="28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  <c r="DD461" s="72"/>
      <c r="DE461" s="72"/>
      <c r="DF461" s="72"/>
      <c r="DG461" s="72"/>
      <c r="DH461" s="72"/>
      <c r="DI461" s="72"/>
      <c r="DJ461" s="72"/>
      <c r="DK461" s="72"/>
      <c r="DL461" s="72"/>
      <c r="DM461" s="72"/>
      <c r="DN461" s="72"/>
      <c r="DO461" s="72"/>
      <c r="DP461" s="72"/>
      <c r="DQ461" s="72"/>
      <c r="DR461" s="72"/>
      <c r="DS461" s="72"/>
      <c r="DT461" s="72"/>
      <c r="DU461" s="72"/>
      <c r="DV461" s="72"/>
      <c r="DW461" s="72"/>
      <c r="DX461" s="72"/>
      <c r="DY461" s="72"/>
      <c r="DZ461" s="72"/>
      <c r="EA461" s="72"/>
      <c r="EB461" s="72"/>
      <c r="EC461" s="72"/>
      <c r="ED461" s="72"/>
      <c r="EE461" s="72"/>
      <c r="EF461" s="72"/>
      <c r="EG461" s="72"/>
      <c r="EH461" s="72"/>
      <c r="EI461" s="72"/>
      <c r="EJ461" s="72"/>
      <c r="EK461" s="72"/>
      <c r="EL461" s="72"/>
      <c r="EM461" s="72"/>
      <c r="EN461" s="72"/>
    </row>
    <row r="462" spans="1:144" s="65" customFormat="1" ht="21" customHeight="1">
      <c r="B462" s="42"/>
      <c r="C462" s="788" t="s">
        <v>278</v>
      </c>
      <c r="D462" s="789"/>
      <c r="E462" s="789"/>
      <c r="F462" s="789"/>
      <c r="G462" s="789"/>
      <c r="H462" s="789"/>
      <c r="I462" s="789"/>
      <c r="J462" s="789"/>
      <c r="K462" s="789"/>
      <c r="L462" s="789"/>
      <c r="M462" s="789"/>
      <c r="N462" s="790"/>
      <c r="O462" s="28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72"/>
      <c r="DH462" s="72"/>
      <c r="DI462" s="72"/>
      <c r="DJ462" s="72"/>
      <c r="DK462" s="72"/>
      <c r="DL462" s="72"/>
      <c r="DM462" s="72"/>
      <c r="DN462" s="72"/>
      <c r="DO462" s="72"/>
      <c r="DP462" s="72"/>
      <c r="DQ462" s="72"/>
      <c r="DR462" s="72"/>
      <c r="DS462" s="72"/>
      <c r="DT462" s="72"/>
      <c r="DU462" s="72"/>
      <c r="DV462" s="72"/>
      <c r="DW462" s="72"/>
      <c r="DX462" s="72"/>
      <c r="DY462" s="72"/>
      <c r="DZ462" s="72"/>
      <c r="EA462" s="72"/>
      <c r="EB462" s="72"/>
      <c r="EC462" s="72"/>
      <c r="ED462" s="72"/>
      <c r="EE462" s="72"/>
      <c r="EF462" s="72"/>
      <c r="EG462" s="72"/>
      <c r="EH462" s="72"/>
      <c r="EI462" s="72"/>
      <c r="EJ462" s="72"/>
      <c r="EK462" s="72"/>
      <c r="EL462" s="72"/>
      <c r="EM462" s="72"/>
      <c r="EN462" s="72"/>
    </row>
    <row r="463" spans="1:144" s="65" customFormat="1" ht="21" customHeight="1">
      <c r="B463" s="42"/>
      <c r="C463" s="788" t="s">
        <v>279</v>
      </c>
      <c r="D463" s="789"/>
      <c r="E463" s="789"/>
      <c r="F463" s="789"/>
      <c r="G463" s="789"/>
      <c r="H463" s="789"/>
      <c r="I463" s="789"/>
      <c r="J463" s="789"/>
      <c r="K463" s="789"/>
      <c r="L463" s="789"/>
      <c r="M463" s="789"/>
      <c r="N463" s="790"/>
      <c r="O463" s="28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  <c r="DD463" s="72"/>
      <c r="DE463" s="72"/>
      <c r="DF463" s="72"/>
      <c r="DG463" s="72"/>
      <c r="DH463" s="72"/>
      <c r="DI463" s="72"/>
      <c r="DJ463" s="72"/>
      <c r="DK463" s="72"/>
      <c r="DL463" s="72"/>
      <c r="DM463" s="72"/>
      <c r="DN463" s="72"/>
      <c r="DO463" s="72"/>
      <c r="DP463" s="72"/>
      <c r="DQ463" s="72"/>
      <c r="DR463" s="72"/>
      <c r="DS463" s="72"/>
      <c r="DT463" s="72"/>
      <c r="DU463" s="72"/>
      <c r="DV463" s="72"/>
      <c r="DW463" s="72"/>
      <c r="DX463" s="72"/>
      <c r="DY463" s="72"/>
      <c r="DZ463" s="72"/>
      <c r="EA463" s="72"/>
      <c r="EB463" s="72"/>
      <c r="EC463" s="72"/>
      <c r="ED463" s="72"/>
      <c r="EE463" s="72"/>
      <c r="EF463" s="72"/>
      <c r="EG463" s="72"/>
      <c r="EH463" s="72"/>
      <c r="EI463" s="72"/>
      <c r="EJ463" s="72"/>
      <c r="EK463" s="72"/>
      <c r="EL463" s="72"/>
      <c r="EM463" s="72"/>
      <c r="EN463" s="72"/>
    </row>
    <row r="464" spans="1:144" s="65" customFormat="1" ht="23.25" customHeight="1">
      <c r="B464" s="42"/>
      <c r="C464" s="788" t="s">
        <v>280</v>
      </c>
      <c r="D464" s="854"/>
      <c r="E464" s="854"/>
      <c r="F464" s="854"/>
      <c r="G464" s="854"/>
      <c r="H464" s="854"/>
      <c r="I464" s="854"/>
      <c r="J464" s="854"/>
      <c r="K464" s="854"/>
      <c r="L464" s="854"/>
      <c r="M464" s="854"/>
      <c r="N464" s="855"/>
      <c r="O464" s="28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2"/>
      <c r="CC464" s="72"/>
      <c r="CD464" s="72"/>
      <c r="CE464" s="72"/>
      <c r="CF464" s="72"/>
      <c r="CG464" s="72"/>
      <c r="CH464" s="72"/>
      <c r="CI464" s="72"/>
      <c r="CJ464" s="72"/>
      <c r="CK464" s="72"/>
      <c r="CL464" s="72"/>
      <c r="CM464" s="72"/>
      <c r="CN464" s="72"/>
      <c r="CO464" s="72"/>
      <c r="CP464" s="72"/>
      <c r="CQ464" s="72"/>
      <c r="CR464" s="72"/>
      <c r="CS464" s="72"/>
      <c r="CT464" s="72"/>
      <c r="CU464" s="72"/>
      <c r="CV464" s="72"/>
      <c r="CW464" s="72"/>
      <c r="CX464" s="72"/>
      <c r="CY464" s="72"/>
      <c r="CZ464" s="72"/>
      <c r="DA464" s="72"/>
      <c r="DB464" s="72"/>
      <c r="DC464" s="72"/>
      <c r="DD464" s="72"/>
      <c r="DE464" s="72"/>
      <c r="DF464" s="72"/>
      <c r="DG464" s="72"/>
      <c r="DH464" s="72"/>
      <c r="DI464" s="72"/>
      <c r="DJ464" s="72"/>
      <c r="DK464" s="72"/>
      <c r="DL464" s="72"/>
      <c r="DM464" s="72"/>
      <c r="DN464" s="72"/>
      <c r="DO464" s="72"/>
      <c r="DP464" s="72"/>
      <c r="DQ464" s="72"/>
      <c r="DR464" s="72"/>
      <c r="DS464" s="72"/>
      <c r="DT464" s="72"/>
      <c r="DU464" s="72"/>
      <c r="DV464" s="72"/>
      <c r="DW464" s="72"/>
      <c r="DX464" s="72"/>
      <c r="DY464" s="72"/>
      <c r="DZ464" s="72"/>
      <c r="EA464" s="72"/>
      <c r="EB464" s="72"/>
      <c r="EC464" s="72"/>
      <c r="ED464" s="72"/>
      <c r="EE464" s="72"/>
      <c r="EF464" s="72"/>
      <c r="EG464" s="72"/>
      <c r="EH464" s="72"/>
      <c r="EI464" s="72"/>
      <c r="EJ464" s="72"/>
      <c r="EK464" s="72"/>
      <c r="EL464" s="72"/>
      <c r="EM464" s="72"/>
      <c r="EN464" s="72"/>
    </row>
    <row r="465" spans="1:145" s="65" customFormat="1" ht="47.25" customHeight="1">
      <c r="B465" s="89" t="s">
        <v>766</v>
      </c>
      <c r="C465" s="194" t="s">
        <v>342</v>
      </c>
      <c r="D465" s="420">
        <v>10</v>
      </c>
      <c r="E465" s="316">
        <v>0</v>
      </c>
      <c r="F465" s="316">
        <v>0</v>
      </c>
      <c r="G465" s="375">
        <v>0</v>
      </c>
      <c r="H465" s="454">
        <v>0</v>
      </c>
      <c r="I465" s="98" t="s">
        <v>340</v>
      </c>
      <c r="J465" s="375" t="s">
        <v>12</v>
      </c>
      <c r="K465" s="374">
        <v>0</v>
      </c>
      <c r="L465" s="374">
        <v>0</v>
      </c>
      <c r="M465" s="375">
        <v>0</v>
      </c>
      <c r="N465" s="376">
        <v>0</v>
      </c>
      <c r="O465" s="28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2"/>
      <c r="CE465" s="72"/>
      <c r="CF465" s="72"/>
      <c r="CG465" s="72"/>
      <c r="CH465" s="72"/>
      <c r="CI465" s="72"/>
      <c r="CJ465" s="72"/>
      <c r="CK465" s="72"/>
      <c r="CL465" s="72"/>
      <c r="CM465" s="72"/>
      <c r="CN465" s="72"/>
      <c r="CO465" s="72"/>
      <c r="CP465" s="72"/>
      <c r="CQ465" s="72"/>
      <c r="CR465" s="72"/>
      <c r="CS465" s="72"/>
      <c r="CT465" s="72"/>
      <c r="CU465" s="72"/>
      <c r="CV465" s="72"/>
      <c r="CW465" s="72"/>
      <c r="CX465" s="72"/>
      <c r="CY465" s="72"/>
      <c r="CZ465" s="72"/>
      <c r="DA465" s="72"/>
      <c r="DB465" s="72"/>
      <c r="DC465" s="72"/>
      <c r="DD465" s="72"/>
      <c r="DE465" s="72"/>
      <c r="DF465" s="72"/>
      <c r="DG465" s="72"/>
      <c r="DH465" s="72"/>
      <c r="DI465" s="72"/>
      <c r="DJ465" s="72"/>
      <c r="DK465" s="72"/>
      <c r="DL465" s="72"/>
      <c r="DM465" s="72"/>
      <c r="DN465" s="72"/>
      <c r="DO465" s="72"/>
      <c r="DP465" s="72"/>
      <c r="DQ465" s="72"/>
      <c r="DR465" s="72"/>
      <c r="DS465" s="72"/>
      <c r="DT465" s="72"/>
      <c r="DU465" s="72"/>
      <c r="DV465" s="72"/>
      <c r="DW465" s="72"/>
      <c r="DX465" s="72"/>
      <c r="DY465" s="72"/>
      <c r="DZ465" s="72"/>
      <c r="EA465" s="72"/>
      <c r="EB465" s="72"/>
      <c r="EC465" s="72"/>
      <c r="ED465" s="72"/>
      <c r="EE465" s="72"/>
      <c r="EF465" s="72"/>
      <c r="EG465" s="72"/>
      <c r="EH465" s="72"/>
      <c r="EI465" s="72"/>
      <c r="EJ465" s="72"/>
      <c r="EK465" s="72"/>
      <c r="EL465" s="72"/>
      <c r="EM465" s="72"/>
      <c r="EN465" s="72"/>
    </row>
    <row r="466" spans="1:145" s="65" customFormat="1" ht="62.25" customHeight="1">
      <c r="B466" s="97"/>
      <c r="C466" s="194"/>
      <c r="D466" s="421"/>
      <c r="E466" s="317"/>
      <c r="F466" s="317"/>
      <c r="G466" s="168"/>
      <c r="H466" s="455"/>
      <c r="I466" s="98" t="s">
        <v>341</v>
      </c>
      <c r="J466" s="375" t="s">
        <v>12</v>
      </c>
      <c r="K466" s="374">
        <v>0</v>
      </c>
      <c r="L466" s="374">
        <v>0</v>
      </c>
      <c r="M466" s="375">
        <v>0</v>
      </c>
      <c r="N466" s="376">
        <v>0</v>
      </c>
      <c r="O466" s="288"/>
      <c r="P466" s="177"/>
      <c r="Q466" s="177"/>
      <c r="R466" s="177"/>
      <c r="S466" s="177"/>
      <c r="T466" s="177"/>
      <c r="U466" s="177"/>
      <c r="V466" s="177"/>
      <c r="W466" s="177"/>
      <c r="X466" s="58"/>
      <c r="Y466" s="58"/>
      <c r="Z466" s="58"/>
      <c r="AA466" s="58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2"/>
      <c r="CE466" s="72"/>
      <c r="CF466" s="72"/>
      <c r="CG466" s="72"/>
      <c r="CH466" s="72"/>
      <c r="CI466" s="72"/>
      <c r="CJ466" s="72"/>
      <c r="CK466" s="72"/>
      <c r="CL466" s="72"/>
      <c r="CM466" s="72"/>
      <c r="CN466" s="72"/>
      <c r="CO466" s="72"/>
      <c r="CP466" s="72"/>
      <c r="CQ466" s="72"/>
      <c r="CR466" s="72"/>
      <c r="CS466" s="72"/>
      <c r="CT466" s="72"/>
      <c r="CU466" s="72"/>
      <c r="CV466" s="72"/>
      <c r="CW466" s="72"/>
      <c r="CX466" s="72"/>
      <c r="CY466" s="72"/>
      <c r="CZ466" s="72"/>
      <c r="DA466" s="72"/>
      <c r="DB466" s="72"/>
      <c r="DC466" s="72"/>
      <c r="DD466" s="72"/>
      <c r="DE466" s="72"/>
      <c r="DF466" s="72"/>
      <c r="DG466" s="72"/>
      <c r="DH466" s="72"/>
      <c r="DI466" s="72"/>
      <c r="DJ466" s="72"/>
      <c r="DK466" s="72"/>
      <c r="DL466" s="72"/>
      <c r="DM466" s="72"/>
      <c r="DN466" s="72"/>
      <c r="DO466" s="72"/>
      <c r="DP466" s="72"/>
      <c r="DQ466" s="72"/>
      <c r="DR466" s="72"/>
      <c r="DS466" s="72"/>
      <c r="DT466" s="72"/>
      <c r="DU466" s="72"/>
      <c r="DV466" s="72"/>
      <c r="DW466" s="72"/>
      <c r="DX466" s="72"/>
      <c r="DY466" s="72"/>
      <c r="DZ466" s="72"/>
      <c r="EA466" s="72"/>
      <c r="EB466" s="72"/>
      <c r="EC466" s="72"/>
      <c r="ED466" s="72"/>
      <c r="EE466" s="72"/>
      <c r="EF466" s="72"/>
      <c r="EG466" s="72"/>
      <c r="EH466" s="72"/>
      <c r="EI466" s="72"/>
      <c r="EJ466" s="72"/>
      <c r="EK466" s="72"/>
      <c r="EL466" s="72"/>
      <c r="EM466" s="72"/>
      <c r="EN466" s="72"/>
    </row>
    <row r="467" spans="1:145" s="173" customFormat="1" ht="30" customHeight="1">
      <c r="B467" s="87"/>
      <c r="C467" s="61" t="s">
        <v>281</v>
      </c>
      <c r="D467" s="69"/>
      <c r="E467" s="301">
        <f>SUM(E465:E466)</f>
        <v>0</v>
      </c>
      <c r="F467" s="301">
        <f>SUM(F465:F466)</f>
        <v>0</v>
      </c>
      <c r="G467" s="536">
        <v>0</v>
      </c>
      <c r="H467" s="546">
        <v>0</v>
      </c>
      <c r="I467" s="179"/>
      <c r="J467" s="180"/>
      <c r="K467" s="283"/>
      <c r="L467" s="283"/>
      <c r="M467" s="536">
        <v>0</v>
      </c>
      <c r="N467" s="549">
        <v>0</v>
      </c>
      <c r="O467" s="293"/>
      <c r="P467" s="58"/>
      <c r="Q467" s="58"/>
      <c r="R467" s="58"/>
      <c r="S467" s="58"/>
      <c r="T467" s="58"/>
      <c r="U467" s="58"/>
      <c r="V467" s="58"/>
      <c r="W467" s="58"/>
      <c r="X467" s="177"/>
      <c r="Y467" s="177"/>
      <c r="Z467" s="177"/>
      <c r="AA467" s="177"/>
      <c r="AB467" s="235"/>
      <c r="AC467" s="235"/>
      <c r="AD467" s="235"/>
      <c r="AE467" s="235"/>
      <c r="AF467" s="235"/>
      <c r="AG467" s="235"/>
      <c r="AH467" s="235"/>
      <c r="AI467" s="235"/>
      <c r="AJ467" s="235"/>
      <c r="AK467" s="235"/>
      <c r="AL467" s="235"/>
      <c r="AM467" s="235"/>
      <c r="AN467" s="235"/>
      <c r="AO467" s="235"/>
      <c r="AP467" s="235"/>
      <c r="AQ467" s="235"/>
      <c r="AR467" s="235"/>
      <c r="AS467" s="235"/>
      <c r="AT467" s="235"/>
      <c r="AU467" s="235"/>
      <c r="AV467" s="235"/>
      <c r="AW467" s="235"/>
      <c r="AX467" s="235"/>
      <c r="AY467" s="235"/>
      <c r="AZ467" s="235"/>
      <c r="BA467" s="235"/>
      <c r="BB467" s="235"/>
      <c r="BC467" s="235"/>
      <c r="BD467" s="235"/>
      <c r="BE467" s="235"/>
      <c r="BF467" s="235"/>
      <c r="BG467" s="235"/>
      <c r="BH467" s="235"/>
      <c r="BI467" s="235"/>
      <c r="BJ467" s="235"/>
      <c r="BK467" s="235"/>
      <c r="BL467" s="235"/>
      <c r="BM467" s="235"/>
      <c r="BN467" s="235"/>
      <c r="BO467" s="235"/>
      <c r="BP467" s="235"/>
      <c r="BQ467" s="235"/>
      <c r="BR467" s="235"/>
      <c r="BS467" s="235"/>
      <c r="BT467" s="235"/>
      <c r="BU467" s="235"/>
      <c r="BV467" s="235"/>
      <c r="BW467" s="235"/>
      <c r="BX467" s="235"/>
      <c r="BY467" s="235"/>
      <c r="BZ467" s="235"/>
      <c r="CA467" s="235"/>
      <c r="CB467" s="235"/>
      <c r="CC467" s="235"/>
      <c r="CD467" s="235"/>
      <c r="CE467" s="235"/>
      <c r="CF467" s="235"/>
      <c r="CG467" s="235"/>
      <c r="CH467" s="235"/>
      <c r="CI467" s="235"/>
      <c r="CJ467" s="235"/>
      <c r="CK467" s="235"/>
      <c r="CL467" s="235"/>
      <c r="CM467" s="235"/>
      <c r="CN467" s="235"/>
      <c r="CO467" s="235"/>
      <c r="CP467" s="235"/>
      <c r="CQ467" s="235"/>
      <c r="CR467" s="235"/>
      <c r="CS467" s="235"/>
      <c r="CT467" s="235"/>
      <c r="CU467" s="235"/>
      <c r="CV467" s="235"/>
      <c r="CW467" s="235"/>
      <c r="CX467" s="235"/>
      <c r="CY467" s="235"/>
      <c r="CZ467" s="235"/>
      <c r="DA467" s="235"/>
      <c r="DB467" s="235"/>
      <c r="DC467" s="235"/>
      <c r="DD467" s="235"/>
      <c r="DE467" s="235"/>
      <c r="DF467" s="235"/>
      <c r="DG467" s="235"/>
      <c r="DH467" s="235"/>
      <c r="DI467" s="235"/>
      <c r="DJ467" s="235"/>
      <c r="DK467" s="235"/>
      <c r="DL467" s="235"/>
      <c r="DM467" s="235"/>
      <c r="DN467" s="235"/>
      <c r="DO467" s="235"/>
      <c r="DP467" s="235"/>
      <c r="DQ467" s="235"/>
      <c r="DR467" s="235"/>
      <c r="DS467" s="235"/>
      <c r="DT467" s="235"/>
      <c r="DU467" s="235"/>
      <c r="DV467" s="235"/>
      <c r="DW467" s="235"/>
      <c r="DX467" s="235"/>
      <c r="DY467" s="235"/>
      <c r="DZ467" s="235"/>
      <c r="EA467" s="235"/>
      <c r="EB467" s="235"/>
      <c r="EC467" s="235"/>
      <c r="ED467" s="235"/>
      <c r="EE467" s="235"/>
      <c r="EF467" s="235"/>
      <c r="EG467" s="235"/>
      <c r="EH467" s="235"/>
      <c r="EI467" s="235"/>
      <c r="EJ467" s="235"/>
      <c r="EK467" s="235"/>
      <c r="EL467" s="235"/>
      <c r="EM467" s="235"/>
      <c r="EN467" s="235"/>
      <c r="EO467" s="233"/>
    </row>
    <row r="468" spans="1:145" s="388" customFormat="1" ht="36.75" customHeight="1">
      <c r="B468" s="556"/>
      <c r="C468" s="563" t="s">
        <v>812</v>
      </c>
      <c r="D468" s="579"/>
      <c r="E468" s="557">
        <f>E459+E447+E439</f>
        <v>21768191.5</v>
      </c>
      <c r="F468" s="557">
        <f>F459+F447+F439</f>
        <v>20516610.020000003</v>
      </c>
      <c r="G468" s="573">
        <f>(G439+G447+G459)/3</f>
        <v>97.79570842530245</v>
      </c>
      <c r="H468" s="580">
        <f>G468/100</f>
        <v>0.97795708425302452</v>
      </c>
      <c r="I468" s="838" t="s">
        <v>808</v>
      </c>
      <c r="J468" s="839"/>
      <c r="K468" s="839"/>
      <c r="L468" s="840"/>
      <c r="M468" s="625">
        <f>(M459+M439)/2</f>
        <v>100</v>
      </c>
      <c r="N468" s="581">
        <v>1</v>
      </c>
      <c r="O468" s="491"/>
      <c r="AB468" s="238"/>
      <c r="AC468" s="238"/>
      <c r="AD468" s="238"/>
      <c r="AE468" s="238"/>
      <c r="AF468" s="238"/>
      <c r="AG468" s="238"/>
      <c r="AH468" s="238"/>
      <c r="AI468" s="238"/>
      <c r="AJ468" s="238"/>
      <c r="AK468" s="238"/>
      <c r="AL468" s="238"/>
      <c r="AM468" s="238"/>
      <c r="AN468" s="238"/>
      <c r="AO468" s="238"/>
      <c r="AP468" s="238"/>
      <c r="AQ468" s="238"/>
      <c r="AR468" s="238"/>
      <c r="AS468" s="238"/>
      <c r="AT468" s="238"/>
      <c r="AU468" s="238"/>
      <c r="AV468" s="238"/>
      <c r="AW468" s="238"/>
      <c r="AX468" s="238"/>
      <c r="AY468" s="238"/>
      <c r="AZ468" s="238"/>
      <c r="BA468" s="238"/>
      <c r="BB468" s="238"/>
      <c r="BC468" s="238"/>
      <c r="BD468" s="238"/>
      <c r="BE468" s="238"/>
      <c r="BF468" s="238"/>
      <c r="BG468" s="238"/>
      <c r="BH468" s="238"/>
      <c r="BI468" s="238"/>
      <c r="BJ468" s="238"/>
      <c r="BK468" s="238"/>
      <c r="BL468" s="238"/>
      <c r="BM468" s="238"/>
      <c r="BN468" s="238"/>
      <c r="BO468" s="238"/>
      <c r="BP468" s="238"/>
      <c r="BQ468" s="238"/>
      <c r="BR468" s="238"/>
      <c r="BS468" s="238"/>
      <c r="BT468" s="238"/>
      <c r="BU468" s="238"/>
      <c r="BV468" s="238"/>
      <c r="BW468" s="238"/>
      <c r="BX468" s="238"/>
      <c r="BY468" s="238"/>
      <c r="BZ468" s="238"/>
      <c r="CA468" s="238"/>
      <c r="CB468" s="238"/>
      <c r="CC468" s="238"/>
      <c r="CD468" s="238"/>
      <c r="CE468" s="238"/>
      <c r="CF468" s="238"/>
      <c r="CG468" s="238"/>
      <c r="CH468" s="238"/>
      <c r="CI468" s="238"/>
      <c r="CJ468" s="238"/>
      <c r="CK468" s="238"/>
      <c r="CL468" s="238"/>
      <c r="CM468" s="238"/>
      <c r="CN468" s="238"/>
      <c r="CO468" s="238"/>
      <c r="CP468" s="238"/>
      <c r="CQ468" s="238"/>
      <c r="CR468" s="238"/>
      <c r="CS468" s="238"/>
      <c r="CT468" s="238"/>
      <c r="CU468" s="238"/>
      <c r="CV468" s="238"/>
      <c r="CW468" s="238"/>
      <c r="CX468" s="238"/>
      <c r="CY468" s="238"/>
      <c r="CZ468" s="238"/>
      <c r="DA468" s="238"/>
      <c r="DB468" s="238"/>
      <c r="DC468" s="238"/>
      <c r="DD468" s="238"/>
      <c r="DE468" s="238"/>
      <c r="DF468" s="238"/>
      <c r="DG468" s="238"/>
      <c r="DH468" s="238"/>
      <c r="DI468" s="238"/>
      <c r="DJ468" s="238"/>
      <c r="DK468" s="238"/>
      <c r="DL468" s="238"/>
      <c r="DM468" s="238"/>
      <c r="DN468" s="238"/>
      <c r="DO468" s="238"/>
      <c r="DP468" s="238"/>
      <c r="DQ468" s="238"/>
      <c r="DR468" s="238"/>
      <c r="DS468" s="238"/>
      <c r="DT468" s="238"/>
      <c r="DU468" s="238"/>
      <c r="DV468" s="238"/>
      <c r="DW468" s="238"/>
      <c r="DX468" s="238"/>
      <c r="DY468" s="238"/>
      <c r="DZ468" s="238"/>
      <c r="EA468" s="238"/>
      <c r="EB468" s="238"/>
      <c r="EC468" s="238"/>
      <c r="ED468" s="238"/>
      <c r="EE468" s="238"/>
      <c r="EF468" s="238"/>
      <c r="EG468" s="238"/>
      <c r="EH468" s="238"/>
      <c r="EI468" s="238"/>
      <c r="EJ468" s="238"/>
      <c r="EK468" s="238"/>
      <c r="EL468" s="238"/>
      <c r="EM468" s="238"/>
      <c r="EN468" s="238"/>
    </row>
    <row r="469" spans="1:145" s="58" customFormat="1" ht="36.75" customHeight="1">
      <c r="B469" s="550"/>
      <c r="C469" s="162" t="s">
        <v>516</v>
      </c>
      <c r="D469" s="500" t="s">
        <v>520</v>
      </c>
      <c r="E469" s="522">
        <v>0</v>
      </c>
      <c r="F469" s="522">
        <v>0</v>
      </c>
      <c r="G469" s="547"/>
      <c r="H469" s="548"/>
      <c r="I469" s="169"/>
      <c r="J469" s="170"/>
      <c r="K469" s="284"/>
      <c r="L469" s="284"/>
      <c r="M469" s="542"/>
      <c r="N469" s="542"/>
      <c r="O469" s="288"/>
      <c r="P469" s="388"/>
      <c r="Q469" s="388"/>
      <c r="R469" s="388"/>
      <c r="S469" s="388"/>
      <c r="T469" s="388"/>
      <c r="U469" s="388"/>
      <c r="V469" s="388"/>
      <c r="W469" s="388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2"/>
      <c r="CE469" s="72"/>
      <c r="CF469" s="72"/>
      <c r="CG469" s="72"/>
      <c r="CH469" s="72"/>
      <c r="CI469" s="72"/>
      <c r="CJ469" s="72"/>
      <c r="CK469" s="72"/>
      <c r="CL469" s="72"/>
      <c r="CM469" s="72"/>
      <c r="CN469" s="72"/>
      <c r="CO469" s="72"/>
      <c r="CP469" s="72"/>
      <c r="CQ469" s="72"/>
      <c r="CR469" s="72"/>
      <c r="CS469" s="72"/>
      <c r="CT469" s="72"/>
      <c r="CU469" s="72"/>
      <c r="CV469" s="72"/>
      <c r="CW469" s="72"/>
      <c r="CX469" s="72"/>
      <c r="CY469" s="72"/>
      <c r="CZ469" s="72"/>
      <c r="DA469" s="72"/>
      <c r="DB469" s="72"/>
      <c r="DC469" s="72"/>
      <c r="DD469" s="72"/>
      <c r="DE469" s="72"/>
      <c r="DF469" s="72"/>
      <c r="DG469" s="72"/>
      <c r="DH469" s="72"/>
      <c r="DI469" s="72"/>
      <c r="DJ469" s="72"/>
      <c r="DK469" s="72"/>
      <c r="DL469" s="72"/>
      <c r="DM469" s="72"/>
      <c r="DN469" s="72"/>
      <c r="DO469" s="72"/>
      <c r="DP469" s="72"/>
      <c r="DQ469" s="72"/>
      <c r="DR469" s="72"/>
      <c r="DS469" s="72"/>
      <c r="DT469" s="72"/>
      <c r="DU469" s="72"/>
      <c r="DV469" s="72"/>
      <c r="DW469" s="72"/>
      <c r="DX469" s="72"/>
      <c r="DY469" s="72"/>
      <c r="DZ469" s="72"/>
      <c r="EA469" s="72"/>
      <c r="EB469" s="72"/>
      <c r="EC469" s="72"/>
      <c r="ED469" s="72"/>
      <c r="EE469" s="72"/>
      <c r="EF469" s="72"/>
      <c r="EG469" s="72"/>
      <c r="EH469" s="72"/>
      <c r="EI469" s="72"/>
      <c r="EJ469" s="72"/>
      <c r="EK469" s="72"/>
      <c r="EL469" s="72"/>
      <c r="EM469" s="72"/>
      <c r="EN469" s="72"/>
    </row>
    <row r="470" spans="1:145" s="58" customFormat="1" ht="36.75" customHeight="1">
      <c r="B470" s="550"/>
      <c r="C470" s="162" t="s">
        <v>517</v>
      </c>
      <c r="D470" s="500" t="s">
        <v>329</v>
      </c>
      <c r="E470" s="702">
        <f>20151.2*1000</f>
        <v>20151200</v>
      </c>
      <c r="F470" s="702">
        <f>18911.5*1000</f>
        <v>18911500</v>
      </c>
      <c r="G470" s="547"/>
      <c r="H470" s="548"/>
      <c r="I470" s="169"/>
      <c r="J470" s="170"/>
      <c r="K470" s="284"/>
      <c r="L470" s="284"/>
      <c r="M470" s="542"/>
      <c r="N470" s="542"/>
      <c r="O470" s="288"/>
      <c r="P470" s="388"/>
      <c r="Q470" s="388"/>
      <c r="R470" s="388"/>
      <c r="S470" s="388"/>
      <c r="T470" s="388"/>
      <c r="U470" s="388"/>
      <c r="V470" s="388"/>
      <c r="W470" s="388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  <c r="CK470" s="72"/>
      <c r="CL470" s="72"/>
      <c r="CM470" s="72"/>
      <c r="CN470" s="72"/>
      <c r="CO470" s="72"/>
      <c r="CP470" s="72"/>
      <c r="CQ470" s="72"/>
      <c r="CR470" s="72"/>
      <c r="CS470" s="72"/>
      <c r="CT470" s="72"/>
      <c r="CU470" s="72"/>
      <c r="CV470" s="72"/>
      <c r="CW470" s="72"/>
      <c r="CX470" s="72"/>
      <c r="CY470" s="72"/>
      <c r="CZ470" s="72"/>
      <c r="DA470" s="72"/>
      <c r="DB470" s="72"/>
      <c r="DC470" s="72"/>
      <c r="DD470" s="72"/>
      <c r="DE470" s="72"/>
      <c r="DF470" s="72"/>
      <c r="DG470" s="72"/>
      <c r="DH470" s="72"/>
      <c r="DI470" s="72"/>
      <c r="DJ470" s="72"/>
      <c r="DK470" s="72"/>
      <c r="DL470" s="72"/>
      <c r="DM470" s="72"/>
      <c r="DN470" s="72"/>
      <c r="DO470" s="72"/>
      <c r="DP470" s="72"/>
      <c r="DQ470" s="72"/>
      <c r="DR470" s="72"/>
      <c r="DS470" s="72"/>
      <c r="DT470" s="72"/>
      <c r="DU470" s="72"/>
      <c r="DV470" s="72"/>
      <c r="DW470" s="72"/>
      <c r="DX470" s="72"/>
      <c r="DY470" s="72"/>
      <c r="DZ470" s="72"/>
      <c r="EA470" s="72"/>
      <c r="EB470" s="72"/>
      <c r="EC470" s="72"/>
      <c r="ED470" s="72"/>
      <c r="EE470" s="72"/>
      <c r="EF470" s="72"/>
      <c r="EG470" s="72"/>
      <c r="EH470" s="72"/>
      <c r="EI470" s="72"/>
      <c r="EJ470" s="72"/>
      <c r="EK470" s="72"/>
      <c r="EL470" s="72"/>
      <c r="EM470" s="72"/>
      <c r="EN470" s="72"/>
    </row>
    <row r="471" spans="1:145" s="58" customFormat="1" ht="36.75" customHeight="1">
      <c r="B471" s="550"/>
      <c r="C471" s="162" t="s">
        <v>518</v>
      </c>
      <c r="D471" s="500" t="s">
        <v>521</v>
      </c>
      <c r="E471" s="702">
        <f>1616.7*1000</f>
        <v>1616700</v>
      </c>
      <c r="F471" s="702">
        <f>1605.1*1000</f>
        <v>1605100</v>
      </c>
      <c r="G471" s="547"/>
      <c r="H471" s="548"/>
      <c r="I471" s="169"/>
      <c r="J471" s="170"/>
      <c r="K471" s="284"/>
      <c r="L471" s="284"/>
      <c r="M471" s="542"/>
      <c r="N471" s="542"/>
      <c r="O471" s="288"/>
      <c r="P471" s="388"/>
      <c r="Q471" s="388"/>
      <c r="R471" s="388"/>
      <c r="S471" s="388"/>
      <c r="T471" s="388"/>
      <c r="U471" s="388"/>
      <c r="V471" s="388"/>
      <c r="W471" s="388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2"/>
      <c r="CE471" s="72"/>
      <c r="CF471" s="72"/>
      <c r="CG471" s="72"/>
      <c r="CH471" s="72"/>
      <c r="CI471" s="72"/>
      <c r="CJ471" s="72"/>
      <c r="CK471" s="72"/>
      <c r="CL471" s="72"/>
      <c r="CM471" s="72"/>
      <c r="CN471" s="72"/>
      <c r="CO471" s="72"/>
      <c r="CP471" s="72"/>
      <c r="CQ471" s="72"/>
      <c r="CR471" s="72"/>
      <c r="CS471" s="72"/>
      <c r="CT471" s="72"/>
      <c r="CU471" s="72"/>
      <c r="CV471" s="72"/>
      <c r="CW471" s="72"/>
      <c r="CX471" s="72"/>
      <c r="CY471" s="72"/>
      <c r="CZ471" s="72"/>
      <c r="DA471" s="72"/>
      <c r="DB471" s="72"/>
      <c r="DC471" s="72"/>
      <c r="DD471" s="72"/>
      <c r="DE471" s="72"/>
      <c r="DF471" s="72"/>
      <c r="DG471" s="72"/>
      <c r="DH471" s="72"/>
      <c r="DI471" s="72"/>
      <c r="DJ471" s="72"/>
      <c r="DK471" s="72"/>
      <c r="DL471" s="72"/>
      <c r="DM471" s="72"/>
      <c r="DN471" s="72"/>
      <c r="DO471" s="72"/>
      <c r="DP471" s="72"/>
      <c r="DQ471" s="72"/>
      <c r="DR471" s="72"/>
      <c r="DS471" s="72"/>
      <c r="DT471" s="72"/>
      <c r="DU471" s="72"/>
      <c r="DV471" s="72"/>
      <c r="DW471" s="72"/>
      <c r="DX471" s="72"/>
      <c r="DY471" s="72"/>
      <c r="DZ471" s="72"/>
      <c r="EA471" s="72"/>
      <c r="EB471" s="72"/>
      <c r="EC471" s="72"/>
      <c r="ED471" s="72"/>
      <c r="EE471" s="72"/>
      <c r="EF471" s="72"/>
      <c r="EG471" s="72"/>
      <c r="EH471" s="72"/>
      <c r="EI471" s="72"/>
      <c r="EJ471" s="72"/>
      <c r="EK471" s="72"/>
      <c r="EL471" s="72"/>
      <c r="EM471" s="72"/>
      <c r="EN471" s="72"/>
    </row>
    <row r="472" spans="1:145" s="58" customFormat="1" ht="36.75" customHeight="1">
      <c r="B472" s="550"/>
      <c r="C472" s="162" t="s">
        <v>519</v>
      </c>
      <c r="D472" s="500" t="s">
        <v>522</v>
      </c>
      <c r="E472" s="522">
        <v>0</v>
      </c>
      <c r="F472" s="522">
        <v>0</v>
      </c>
      <c r="G472" s="547"/>
      <c r="H472" s="548"/>
      <c r="I472" s="169"/>
      <c r="J472" s="170"/>
      <c r="K472" s="284"/>
      <c r="L472" s="284"/>
      <c r="M472" s="542"/>
      <c r="N472" s="542"/>
      <c r="O472" s="288"/>
      <c r="P472" s="388"/>
      <c r="Q472" s="388"/>
      <c r="R472" s="388"/>
      <c r="S472" s="388"/>
      <c r="T472" s="388"/>
      <c r="U472" s="388"/>
      <c r="V472" s="388"/>
      <c r="W472" s="388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  <c r="BB472" s="72"/>
      <c r="BC472" s="72"/>
      <c r="BD472" s="72"/>
      <c r="BE472" s="72"/>
      <c r="BF472" s="72"/>
      <c r="BG472" s="72"/>
      <c r="BH472" s="72"/>
      <c r="BI472" s="72"/>
      <c r="BJ472" s="72"/>
      <c r="BK472" s="72"/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2"/>
      <c r="CC472" s="72"/>
      <c r="CD472" s="72"/>
      <c r="CE472" s="72"/>
      <c r="CF472" s="72"/>
      <c r="CG472" s="72"/>
      <c r="CH472" s="72"/>
      <c r="CI472" s="72"/>
      <c r="CJ472" s="72"/>
      <c r="CK472" s="72"/>
      <c r="CL472" s="72"/>
      <c r="CM472" s="72"/>
      <c r="CN472" s="72"/>
      <c r="CO472" s="72"/>
      <c r="CP472" s="72"/>
      <c r="CQ472" s="72"/>
      <c r="CR472" s="72"/>
      <c r="CS472" s="72"/>
      <c r="CT472" s="72"/>
      <c r="CU472" s="72"/>
      <c r="CV472" s="72"/>
      <c r="CW472" s="72"/>
      <c r="CX472" s="72"/>
      <c r="CY472" s="72"/>
      <c r="CZ472" s="72"/>
      <c r="DA472" s="72"/>
      <c r="DB472" s="72"/>
      <c r="DC472" s="72"/>
      <c r="DD472" s="72"/>
      <c r="DE472" s="72"/>
      <c r="DF472" s="72"/>
      <c r="DG472" s="72"/>
      <c r="DH472" s="72"/>
      <c r="DI472" s="72"/>
      <c r="DJ472" s="72"/>
      <c r="DK472" s="72"/>
      <c r="DL472" s="72"/>
      <c r="DM472" s="72"/>
      <c r="DN472" s="72"/>
      <c r="DO472" s="72"/>
      <c r="DP472" s="72"/>
      <c r="DQ472" s="72"/>
      <c r="DR472" s="72"/>
      <c r="DS472" s="72"/>
      <c r="DT472" s="72"/>
      <c r="DU472" s="72"/>
      <c r="DV472" s="72"/>
      <c r="DW472" s="72"/>
      <c r="DX472" s="72"/>
      <c r="DY472" s="72"/>
      <c r="DZ472" s="72"/>
      <c r="EA472" s="72"/>
      <c r="EB472" s="72"/>
      <c r="EC472" s="72"/>
      <c r="ED472" s="72"/>
      <c r="EE472" s="72"/>
      <c r="EF472" s="72"/>
      <c r="EG472" s="72"/>
      <c r="EH472" s="72"/>
      <c r="EI472" s="72"/>
      <c r="EJ472" s="72"/>
      <c r="EK472" s="72"/>
      <c r="EL472" s="72"/>
      <c r="EM472" s="72"/>
      <c r="EN472" s="72"/>
    </row>
    <row r="473" spans="1:145" s="125" customFormat="1" ht="41.25" customHeight="1">
      <c r="B473" s="171"/>
      <c r="C473" s="820" t="s">
        <v>739</v>
      </c>
      <c r="D473" s="836"/>
      <c r="E473" s="836"/>
      <c r="F473" s="836"/>
      <c r="G473" s="836"/>
      <c r="H473" s="836"/>
      <c r="I473" s="836"/>
      <c r="J473" s="836"/>
      <c r="K473" s="836"/>
      <c r="L473" s="836"/>
      <c r="M473" s="836"/>
      <c r="N473" s="837"/>
      <c r="O473" s="288"/>
      <c r="P473" s="382"/>
      <c r="Q473" s="382"/>
      <c r="R473" s="382"/>
      <c r="S473" s="382"/>
      <c r="T473" s="382"/>
      <c r="U473" s="382"/>
      <c r="V473" s="382"/>
      <c r="W473" s="382"/>
      <c r="X473" s="388"/>
      <c r="Y473" s="388"/>
      <c r="Z473" s="388"/>
      <c r="AA473" s="388"/>
      <c r="AB473" s="238"/>
      <c r="AC473" s="238"/>
      <c r="AD473" s="238"/>
      <c r="AE473" s="238"/>
      <c r="AF473" s="238"/>
      <c r="AG473" s="238"/>
      <c r="AH473" s="238"/>
      <c r="AI473" s="238"/>
      <c r="AJ473" s="238"/>
      <c r="AK473" s="238"/>
      <c r="AL473" s="238"/>
      <c r="AM473" s="238"/>
      <c r="AN473" s="238"/>
      <c r="AO473" s="238"/>
      <c r="AP473" s="238"/>
      <c r="AQ473" s="238"/>
      <c r="AR473" s="238"/>
      <c r="AS473" s="238"/>
      <c r="AT473" s="238"/>
      <c r="AU473" s="238"/>
      <c r="AV473" s="238"/>
      <c r="AW473" s="238"/>
      <c r="AX473" s="238"/>
      <c r="AY473" s="238"/>
      <c r="AZ473" s="238"/>
      <c r="BA473" s="238"/>
      <c r="BB473" s="238"/>
      <c r="BC473" s="238"/>
      <c r="BD473" s="238"/>
      <c r="BE473" s="238"/>
      <c r="BF473" s="238"/>
      <c r="BG473" s="238"/>
      <c r="BH473" s="238"/>
      <c r="BI473" s="238"/>
      <c r="BJ473" s="238"/>
      <c r="BK473" s="238"/>
      <c r="BL473" s="238"/>
      <c r="BM473" s="238"/>
      <c r="BN473" s="238"/>
      <c r="BO473" s="238"/>
      <c r="BP473" s="238"/>
      <c r="BQ473" s="238"/>
      <c r="BR473" s="238"/>
      <c r="BS473" s="238"/>
      <c r="BT473" s="238"/>
      <c r="BU473" s="238"/>
      <c r="BV473" s="238"/>
      <c r="BW473" s="238"/>
      <c r="BX473" s="238"/>
      <c r="BY473" s="238"/>
      <c r="BZ473" s="238"/>
      <c r="CA473" s="238"/>
      <c r="CB473" s="238"/>
      <c r="CC473" s="238"/>
      <c r="CD473" s="238"/>
      <c r="CE473" s="238"/>
      <c r="CF473" s="238"/>
      <c r="CG473" s="238"/>
      <c r="CH473" s="238"/>
      <c r="CI473" s="238"/>
      <c r="CJ473" s="238"/>
      <c r="CK473" s="238"/>
      <c r="CL473" s="238"/>
      <c r="CM473" s="238"/>
      <c r="CN473" s="238"/>
      <c r="CO473" s="238"/>
      <c r="CP473" s="238"/>
      <c r="CQ473" s="238"/>
      <c r="CR473" s="238"/>
      <c r="CS473" s="238"/>
      <c r="CT473" s="238"/>
      <c r="CU473" s="238"/>
      <c r="CV473" s="238"/>
      <c r="CW473" s="238"/>
      <c r="CX473" s="238"/>
      <c r="CY473" s="238"/>
      <c r="CZ473" s="238"/>
      <c r="DA473" s="238"/>
      <c r="DB473" s="238"/>
      <c r="DC473" s="238"/>
      <c r="DD473" s="238"/>
      <c r="DE473" s="238"/>
      <c r="DF473" s="238"/>
      <c r="DG473" s="238"/>
      <c r="DH473" s="238"/>
      <c r="DI473" s="238"/>
      <c r="DJ473" s="238"/>
      <c r="DK473" s="238"/>
      <c r="DL473" s="238"/>
      <c r="DM473" s="238"/>
      <c r="DN473" s="238"/>
      <c r="DO473" s="238"/>
      <c r="DP473" s="238"/>
      <c r="DQ473" s="238"/>
      <c r="DR473" s="238"/>
      <c r="DS473" s="238"/>
      <c r="DT473" s="238"/>
      <c r="DU473" s="238"/>
      <c r="DV473" s="238"/>
      <c r="DW473" s="238"/>
      <c r="DX473" s="238"/>
      <c r="DY473" s="238"/>
      <c r="DZ473" s="238"/>
      <c r="EA473" s="238"/>
      <c r="EB473" s="238"/>
      <c r="EC473" s="238"/>
      <c r="ED473" s="238"/>
      <c r="EE473" s="238"/>
      <c r="EF473" s="238"/>
      <c r="EG473" s="238"/>
      <c r="EH473" s="238"/>
      <c r="EI473" s="238"/>
      <c r="EJ473" s="238"/>
      <c r="EK473" s="238"/>
      <c r="EL473" s="238"/>
      <c r="EM473" s="238"/>
      <c r="EN473" s="238"/>
    </row>
    <row r="474" spans="1:145" s="111" customFormat="1" ht="55.5" customHeight="1">
      <c r="B474" s="112" t="s">
        <v>464</v>
      </c>
      <c r="C474" s="831" t="s">
        <v>476</v>
      </c>
      <c r="D474" s="832"/>
      <c r="E474" s="832"/>
      <c r="F474" s="832"/>
      <c r="G474" s="832"/>
      <c r="H474" s="832"/>
      <c r="I474" s="832"/>
      <c r="J474" s="832"/>
      <c r="K474" s="832"/>
      <c r="L474" s="832"/>
      <c r="M474" s="832"/>
      <c r="N474" s="833"/>
      <c r="O474" s="288"/>
      <c r="P474" s="388"/>
      <c r="Q474" s="388"/>
      <c r="R474" s="388"/>
      <c r="S474" s="388"/>
      <c r="T474" s="388"/>
      <c r="U474" s="388"/>
      <c r="V474" s="388"/>
      <c r="W474" s="388"/>
      <c r="X474" s="388"/>
      <c r="Y474" s="388"/>
      <c r="Z474" s="388"/>
      <c r="AA474" s="388"/>
      <c r="AB474" s="238"/>
      <c r="AC474" s="238"/>
      <c r="AD474" s="238"/>
      <c r="AE474" s="238"/>
      <c r="AF474" s="238"/>
      <c r="AG474" s="238"/>
      <c r="AH474" s="238"/>
      <c r="AI474" s="238"/>
      <c r="AJ474" s="238"/>
      <c r="AK474" s="238"/>
      <c r="AL474" s="238"/>
      <c r="AM474" s="238"/>
      <c r="AN474" s="238"/>
      <c r="AO474" s="238"/>
      <c r="AP474" s="238"/>
      <c r="AQ474" s="238"/>
      <c r="AR474" s="238"/>
      <c r="AS474" s="238"/>
      <c r="AT474" s="238"/>
      <c r="AU474" s="238"/>
      <c r="AV474" s="238"/>
      <c r="AW474" s="238"/>
      <c r="AX474" s="238"/>
      <c r="AY474" s="238"/>
      <c r="AZ474" s="238"/>
      <c r="BA474" s="238"/>
      <c r="BB474" s="238"/>
      <c r="BC474" s="238"/>
      <c r="BD474" s="238"/>
      <c r="BE474" s="238"/>
      <c r="BF474" s="238"/>
      <c r="BG474" s="238"/>
      <c r="BH474" s="238"/>
      <c r="BI474" s="238"/>
      <c r="BJ474" s="238"/>
      <c r="BK474" s="238"/>
      <c r="BL474" s="238"/>
      <c r="BM474" s="238"/>
      <c r="BN474" s="238"/>
      <c r="BO474" s="238"/>
      <c r="BP474" s="238"/>
      <c r="BQ474" s="238"/>
      <c r="BR474" s="238"/>
      <c r="BS474" s="238"/>
      <c r="BT474" s="238"/>
      <c r="BU474" s="238"/>
      <c r="BV474" s="238"/>
      <c r="BW474" s="238"/>
      <c r="BX474" s="238"/>
      <c r="BY474" s="238"/>
      <c r="BZ474" s="238"/>
      <c r="CA474" s="238"/>
      <c r="CB474" s="238"/>
      <c r="CC474" s="238"/>
      <c r="CD474" s="238"/>
      <c r="CE474" s="238"/>
      <c r="CF474" s="238"/>
      <c r="CG474" s="238"/>
      <c r="CH474" s="238"/>
      <c r="CI474" s="238"/>
      <c r="CJ474" s="238"/>
      <c r="CK474" s="238"/>
      <c r="CL474" s="238"/>
      <c r="CM474" s="238"/>
      <c r="CN474" s="238"/>
      <c r="CO474" s="238"/>
      <c r="CP474" s="238"/>
      <c r="CQ474" s="238"/>
      <c r="CR474" s="238"/>
      <c r="CS474" s="238"/>
      <c r="CT474" s="238"/>
      <c r="CU474" s="238"/>
      <c r="CV474" s="238"/>
      <c r="CW474" s="238"/>
      <c r="CX474" s="238"/>
      <c r="CY474" s="238"/>
      <c r="CZ474" s="238"/>
      <c r="DA474" s="238"/>
      <c r="DB474" s="238"/>
      <c r="DC474" s="238"/>
      <c r="DD474" s="238"/>
      <c r="DE474" s="238"/>
      <c r="DF474" s="238"/>
      <c r="DG474" s="238"/>
      <c r="DH474" s="238"/>
      <c r="DI474" s="238"/>
      <c r="DJ474" s="238"/>
      <c r="DK474" s="238"/>
      <c r="DL474" s="238"/>
      <c r="DM474" s="238"/>
      <c r="DN474" s="238"/>
      <c r="DO474" s="238"/>
      <c r="DP474" s="238"/>
      <c r="DQ474" s="238"/>
      <c r="DR474" s="238"/>
      <c r="DS474" s="238"/>
      <c r="DT474" s="238"/>
      <c r="DU474" s="238"/>
      <c r="DV474" s="238"/>
      <c r="DW474" s="238"/>
      <c r="DX474" s="238"/>
      <c r="DY474" s="238"/>
      <c r="DZ474" s="238"/>
      <c r="EA474" s="238"/>
      <c r="EB474" s="238"/>
      <c r="EC474" s="238"/>
      <c r="ED474" s="238"/>
      <c r="EE474" s="238"/>
      <c r="EF474" s="238"/>
      <c r="EG474" s="238"/>
      <c r="EH474" s="238"/>
      <c r="EI474" s="238"/>
      <c r="EJ474" s="238"/>
      <c r="EK474" s="238"/>
      <c r="EL474" s="238"/>
      <c r="EM474" s="238"/>
      <c r="EN474" s="238"/>
    </row>
    <row r="475" spans="1:145" s="114" customFormat="1" ht="27.75" customHeight="1">
      <c r="B475" s="115"/>
      <c r="C475" s="776" t="s">
        <v>207</v>
      </c>
      <c r="D475" s="777"/>
      <c r="E475" s="777"/>
      <c r="F475" s="777"/>
      <c r="G475" s="777"/>
      <c r="H475" s="777"/>
      <c r="I475" s="777"/>
      <c r="J475" s="777"/>
      <c r="K475" s="777"/>
      <c r="L475" s="777"/>
      <c r="M475" s="777"/>
      <c r="N475" s="778"/>
      <c r="O475" s="288"/>
      <c r="P475" s="364"/>
      <c r="Q475" s="364"/>
      <c r="R475" s="364"/>
      <c r="S475" s="364"/>
      <c r="T475" s="364"/>
      <c r="U475" s="364"/>
      <c r="V475" s="364"/>
      <c r="W475" s="364"/>
      <c r="X475" s="364"/>
      <c r="Y475" s="364"/>
      <c r="Z475" s="364"/>
      <c r="AA475" s="364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  <c r="AP475" s="126"/>
      <c r="AQ475" s="126"/>
      <c r="AR475" s="126"/>
      <c r="AS475" s="126"/>
      <c r="AT475" s="126"/>
      <c r="AU475" s="126"/>
      <c r="AV475" s="126"/>
      <c r="AW475" s="126"/>
      <c r="AX475" s="126"/>
      <c r="AY475" s="126"/>
      <c r="AZ475" s="126"/>
      <c r="BA475" s="126"/>
      <c r="BB475" s="126"/>
      <c r="BC475" s="126"/>
      <c r="BD475" s="126"/>
      <c r="BE475" s="126"/>
      <c r="BF475" s="126"/>
      <c r="BG475" s="126"/>
      <c r="BH475" s="126"/>
      <c r="BI475" s="126"/>
      <c r="BJ475" s="126"/>
      <c r="BK475" s="126"/>
      <c r="BL475" s="126"/>
      <c r="BM475" s="126"/>
      <c r="BN475" s="126"/>
      <c r="BO475" s="126"/>
      <c r="BP475" s="126"/>
      <c r="BQ475" s="126"/>
      <c r="BR475" s="126"/>
      <c r="BS475" s="126"/>
      <c r="BT475" s="126"/>
      <c r="BU475" s="126"/>
      <c r="BV475" s="126"/>
      <c r="BW475" s="126"/>
      <c r="BX475" s="126"/>
      <c r="BY475" s="126"/>
      <c r="BZ475" s="126"/>
      <c r="CA475" s="126"/>
      <c r="CB475" s="126"/>
      <c r="CC475" s="126"/>
      <c r="CD475" s="126"/>
      <c r="CE475" s="126"/>
      <c r="CF475" s="126"/>
      <c r="CG475" s="126"/>
      <c r="CH475" s="126"/>
      <c r="CI475" s="126"/>
      <c r="CJ475" s="126"/>
      <c r="CK475" s="126"/>
      <c r="CL475" s="126"/>
      <c r="CM475" s="126"/>
      <c r="CN475" s="126"/>
      <c r="CO475" s="126"/>
      <c r="CP475" s="126"/>
      <c r="CQ475" s="126"/>
      <c r="CR475" s="126"/>
      <c r="CS475" s="126"/>
      <c r="CT475" s="126"/>
      <c r="CU475" s="126"/>
      <c r="CV475" s="126"/>
      <c r="CW475" s="126"/>
      <c r="CX475" s="126"/>
      <c r="CY475" s="126"/>
      <c r="CZ475" s="126"/>
      <c r="DA475" s="126"/>
      <c r="DB475" s="126"/>
      <c r="DC475" s="126"/>
      <c r="DD475" s="126"/>
      <c r="DE475" s="126"/>
      <c r="DF475" s="126"/>
      <c r="DG475" s="126"/>
      <c r="DH475" s="126"/>
      <c r="DI475" s="126"/>
      <c r="DJ475" s="126"/>
      <c r="DK475" s="126"/>
      <c r="DL475" s="126"/>
      <c r="DM475" s="126"/>
      <c r="DN475" s="126"/>
      <c r="DO475" s="126"/>
      <c r="DP475" s="126"/>
      <c r="DQ475" s="126"/>
      <c r="DR475" s="126"/>
      <c r="DS475" s="126"/>
      <c r="DT475" s="126"/>
      <c r="DU475" s="126"/>
      <c r="DV475" s="126"/>
      <c r="DW475" s="126"/>
      <c r="DX475" s="126"/>
      <c r="DY475" s="126"/>
      <c r="DZ475" s="126"/>
      <c r="EA475" s="126"/>
      <c r="EB475" s="126"/>
      <c r="EC475" s="126"/>
      <c r="ED475" s="126"/>
      <c r="EE475" s="126"/>
      <c r="EF475" s="126"/>
      <c r="EG475" s="126"/>
      <c r="EH475" s="126"/>
      <c r="EI475" s="126"/>
      <c r="EJ475" s="126"/>
      <c r="EK475" s="126"/>
      <c r="EL475" s="126"/>
      <c r="EM475" s="126"/>
      <c r="EN475" s="126"/>
    </row>
    <row r="476" spans="1:145" s="114" customFormat="1" ht="22.5" customHeight="1">
      <c r="B476" s="115"/>
      <c r="C476" s="776" t="s">
        <v>208</v>
      </c>
      <c r="D476" s="777"/>
      <c r="E476" s="777"/>
      <c r="F476" s="777"/>
      <c r="G476" s="777"/>
      <c r="H476" s="777"/>
      <c r="I476" s="777"/>
      <c r="J476" s="777"/>
      <c r="K476" s="777"/>
      <c r="L476" s="777"/>
      <c r="M476" s="777"/>
      <c r="N476" s="778"/>
      <c r="O476" s="288"/>
      <c r="P476" s="364"/>
      <c r="Q476" s="364"/>
      <c r="R476" s="364"/>
      <c r="S476" s="364"/>
      <c r="T476" s="364"/>
      <c r="U476" s="364"/>
      <c r="V476" s="364"/>
      <c r="W476" s="364"/>
      <c r="X476" s="364"/>
      <c r="Y476" s="364"/>
      <c r="Z476" s="364"/>
      <c r="AA476" s="364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  <c r="AP476" s="126"/>
      <c r="AQ476" s="126"/>
      <c r="AR476" s="126"/>
      <c r="AS476" s="126"/>
      <c r="AT476" s="126"/>
      <c r="AU476" s="126"/>
      <c r="AV476" s="126"/>
      <c r="AW476" s="126"/>
      <c r="AX476" s="126"/>
      <c r="AY476" s="126"/>
      <c r="AZ476" s="126"/>
      <c r="BA476" s="126"/>
      <c r="BB476" s="126"/>
      <c r="BC476" s="126"/>
      <c r="BD476" s="126"/>
      <c r="BE476" s="126"/>
      <c r="BF476" s="126"/>
      <c r="BG476" s="126"/>
      <c r="BH476" s="126"/>
      <c r="BI476" s="126"/>
      <c r="BJ476" s="126"/>
      <c r="BK476" s="126"/>
      <c r="BL476" s="126"/>
      <c r="BM476" s="126"/>
      <c r="BN476" s="126"/>
      <c r="BO476" s="126"/>
      <c r="BP476" s="126"/>
      <c r="BQ476" s="126"/>
      <c r="BR476" s="126"/>
      <c r="BS476" s="126"/>
      <c r="BT476" s="126"/>
      <c r="BU476" s="126"/>
      <c r="BV476" s="126"/>
      <c r="BW476" s="126"/>
      <c r="BX476" s="126"/>
      <c r="BY476" s="126"/>
      <c r="BZ476" s="126"/>
      <c r="CA476" s="126"/>
      <c r="CB476" s="126"/>
      <c r="CC476" s="126"/>
      <c r="CD476" s="126"/>
      <c r="CE476" s="126"/>
      <c r="CF476" s="126"/>
      <c r="CG476" s="126"/>
      <c r="CH476" s="126"/>
      <c r="CI476" s="126"/>
      <c r="CJ476" s="126"/>
      <c r="CK476" s="126"/>
      <c r="CL476" s="126"/>
      <c r="CM476" s="126"/>
      <c r="CN476" s="126"/>
      <c r="CO476" s="126"/>
      <c r="CP476" s="126"/>
      <c r="CQ476" s="126"/>
      <c r="CR476" s="126"/>
      <c r="CS476" s="126"/>
      <c r="CT476" s="126"/>
      <c r="CU476" s="126"/>
      <c r="CV476" s="126"/>
      <c r="CW476" s="126"/>
      <c r="CX476" s="126"/>
      <c r="CY476" s="126"/>
      <c r="CZ476" s="126"/>
      <c r="DA476" s="126"/>
      <c r="DB476" s="126"/>
      <c r="DC476" s="126"/>
      <c r="DD476" s="126"/>
      <c r="DE476" s="126"/>
      <c r="DF476" s="126"/>
      <c r="DG476" s="126"/>
      <c r="DH476" s="126"/>
      <c r="DI476" s="126"/>
      <c r="DJ476" s="126"/>
      <c r="DK476" s="126"/>
      <c r="DL476" s="126"/>
      <c r="DM476" s="126"/>
      <c r="DN476" s="126"/>
      <c r="DO476" s="126"/>
      <c r="DP476" s="126"/>
      <c r="DQ476" s="126"/>
      <c r="DR476" s="126"/>
      <c r="DS476" s="126"/>
      <c r="DT476" s="126"/>
      <c r="DU476" s="126"/>
      <c r="DV476" s="126"/>
      <c r="DW476" s="126"/>
      <c r="DX476" s="126"/>
      <c r="DY476" s="126"/>
      <c r="DZ476" s="126"/>
      <c r="EA476" s="126"/>
      <c r="EB476" s="126"/>
      <c r="EC476" s="126"/>
      <c r="ED476" s="126"/>
      <c r="EE476" s="126"/>
      <c r="EF476" s="126"/>
      <c r="EG476" s="126"/>
      <c r="EH476" s="126"/>
      <c r="EI476" s="126"/>
      <c r="EJ476" s="126"/>
      <c r="EK476" s="126"/>
      <c r="EL476" s="126"/>
      <c r="EM476" s="126"/>
      <c r="EN476" s="126"/>
    </row>
    <row r="477" spans="1:145" s="114" customFormat="1" ht="22.5" customHeight="1">
      <c r="B477" s="115"/>
      <c r="C477" s="779" t="s">
        <v>209</v>
      </c>
      <c r="D477" s="780"/>
      <c r="E477" s="780"/>
      <c r="F477" s="780"/>
      <c r="G477" s="780"/>
      <c r="H477" s="780"/>
      <c r="I477" s="780"/>
      <c r="J477" s="780"/>
      <c r="K477" s="780"/>
      <c r="L477" s="780"/>
      <c r="M477" s="780"/>
      <c r="N477" s="781"/>
      <c r="O477" s="288"/>
      <c r="P477" s="364"/>
      <c r="Q477" s="364"/>
      <c r="R477" s="364"/>
      <c r="S477" s="364"/>
      <c r="T477" s="364"/>
      <c r="U477" s="364"/>
      <c r="V477" s="364"/>
      <c r="W477" s="364"/>
      <c r="X477" s="364"/>
      <c r="Y477" s="364"/>
      <c r="Z477" s="364"/>
      <c r="AA477" s="364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  <c r="AP477" s="126"/>
      <c r="AQ477" s="126"/>
      <c r="AR477" s="126"/>
      <c r="AS477" s="126"/>
      <c r="AT477" s="126"/>
      <c r="AU477" s="126"/>
      <c r="AV477" s="126"/>
      <c r="AW477" s="126"/>
      <c r="AX477" s="126"/>
      <c r="AY477" s="126"/>
      <c r="AZ477" s="126"/>
      <c r="BA477" s="126"/>
      <c r="BB477" s="126"/>
      <c r="BC477" s="126"/>
      <c r="BD477" s="126"/>
      <c r="BE477" s="126"/>
      <c r="BF477" s="126"/>
      <c r="BG477" s="126"/>
      <c r="BH477" s="126"/>
      <c r="BI477" s="126"/>
      <c r="BJ477" s="126"/>
      <c r="BK477" s="126"/>
      <c r="BL477" s="126"/>
      <c r="BM477" s="126"/>
      <c r="BN477" s="126"/>
      <c r="BO477" s="126"/>
      <c r="BP477" s="126"/>
      <c r="BQ477" s="126"/>
      <c r="BR477" s="126"/>
      <c r="BS477" s="126"/>
      <c r="BT477" s="126"/>
      <c r="BU477" s="126"/>
      <c r="BV477" s="126"/>
      <c r="BW477" s="126"/>
      <c r="BX477" s="126"/>
      <c r="BY477" s="126"/>
      <c r="BZ477" s="126"/>
      <c r="CA477" s="126"/>
      <c r="CB477" s="126"/>
      <c r="CC477" s="126"/>
      <c r="CD477" s="126"/>
      <c r="CE477" s="126"/>
      <c r="CF477" s="126"/>
      <c r="CG477" s="126"/>
      <c r="CH477" s="126"/>
      <c r="CI477" s="126"/>
      <c r="CJ477" s="126"/>
      <c r="CK477" s="126"/>
      <c r="CL477" s="126"/>
      <c r="CM477" s="126"/>
      <c r="CN477" s="126"/>
      <c r="CO477" s="126"/>
      <c r="CP477" s="126"/>
      <c r="CQ477" s="126"/>
      <c r="CR477" s="126"/>
      <c r="CS477" s="126"/>
      <c r="CT477" s="126"/>
      <c r="CU477" s="126"/>
      <c r="CV477" s="126"/>
      <c r="CW477" s="126"/>
      <c r="CX477" s="126"/>
      <c r="CY477" s="126"/>
      <c r="CZ477" s="126"/>
      <c r="DA477" s="126"/>
      <c r="DB477" s="126"/>
      <c r="DC477" s="126"/>
      <c r="DD477" s="126"/>
      <c r="DE477" s="126"/>
      <c r="DF477" s="126"/>
      <c r="DG477" s="126"/>
      <c r="DH477" s="126"/>
      <c r="DI477" s="126"/>
      <c r="DJ477" s="126"/>
      <c r="DK477" s="126"/>
      <c r="DL477" s="126"/>
      <c r="DM477" s="126"/>
      <c r="DN477" s="126"/>
      <c r="DO477" s="126"/>
      <c r="DP477" s="126"/>
      <c r="DQ477" s="126"/>
      <c r="DR477" s="126"/>
      <c r="DS477" s="126"/>
      <c r="DT477" s="126"/>
      <c r="DU477" s="126"/>
      <c r="DV477" s="126"/>
      <c r="DW477" s="126"/>
      <c r="DX477" s="126"/>
      <c r="DY477" s="126"/>
      <c r="DZ477" s="126"/>
      <c r="EA477" s="126"/>
      <c r="EB477" s="126"/>
      <c r="EC477" s="126"/>
      <c r="ED477" s="126"/>
      <c r="EE477" s="126"/>
      <c r="EF477" s="126"/>
      <c r="EG477" s="126"/>
      <c r="EH477" s="126"/>
      <c r="EI477" s="126"/>
      <c r="EJ477" s="126"/>
      <c r="EK477" s="126"/>
      <c r="EL477" s="126"/>
      <c r="EM477" s="126"/>
      <c r="EN477" s="126"/>
    </row>
    <row r="478" spans="1:145" s="114" customFormat="1" ht="22.5" customHeight="1">
      <c r="B478" s="115"/>
      <c r="C478" s="776" t="s">
        <v>478</v>
      </c>
      <c r="D478" s="777"/>
      <c r="E478" s="777"/>
      <c r="F478" s="777"/>
      <c r="G478" s="777"/>
      <c r="H478" s="777"/>
      <c r="I478" s="777"/>
      <c r="J478" s="777"/>
      <c r="K478" s="777"/>
      <c r="L478" s="777"/>
      <c r="M478" s="777"/>
      <c r="N478" s="778"/>
      <c r="O478" s="288"/>
      <c r="P478" s="364"/>
      <c r="Q478" s="364"/>
      <c r="R478" s="364"/>
      <c r="S478" s="364"/>
      <c r="T478" s="364"/>
      <c r="U478" s="364"/>
      <c r="V478" s="364"/>
      <c r="W478" s="364"/>
      <c r="X478" s="364"/>
      <c r="Y478" s="364"/>
      <c r="Z478" s="364"/>
      <c r="AA478" s="364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  <c r="AP478" s="126"/>
      <c r="AQ478" s="126"/>
      <c r="AR478" s="126"/>
      <c r="AS478" s="126"/>
      <c r="AT478" s="126"/>
      <c r="AU478" s="126"/>
      <c r="AV478" s="126"/>
      <c r="AW478" s="126"/>
      <c r="AX478" s="126"/>
      <c r="AY478" s="126"/>
      <c r="AZ478" s="126"/>
      <c r="BA478" s="126"/>
      <c r="BB478" s="126"/>
      <c r="BC478" s="126"/>
      <c r="BD478" s="126"/>
      <c r="BE478" s="126"/>
      <c r="BF478" s="126"/>
      <c r="BG478" s="126"/>
      <c r="BH478" s="126"/>
      <c r="BI478" s="126"/>
      <c r="BJ478" s="126"/>
      <c r="BK478" s="126"/>
      <c r="BL478" s="126"/>
      <c r="BM478" s="126"/>
      <c r="BN478" s="126"/>
      <c r="BO478" s="126"/>
      <c r="BP478" s="126"/>
      <c r="BQ478" s="126"/>
      <c r="BR478" s="126"/>
      <c r="BS478" s="126"/>
      <c r="BT478" s="126"/>
      <c r="BU478" s="126"/>
      <c r="BV478" s="126"/>
      <c r="BW478" s="126"/>
      <c r="BX478" s="126"/>
      <c r="BY478" s="126"/>
      <c r="BZ478" s="126"/>
      <c r="CA478" s="126"/>
      <c r="CB478" s="126"/>
      <c r="CC478" s="126"/>
      <c r="CD478" s="126"/>
      <c r="CE478" s="126"/>
      <c r="CF478" s="126"/>
      <c r="CG478" s="126"/>
      <c r="CH478" s="126"/>
      <c r="CI478" s="126"/>
      <c r="CJ478" s="126"/>
      <c r="CK478" s="126"/>
      <c r="CL478" s="126"/>
      <c r="CM478" s="126"/>
      <c r="CN478" s="126"/>
      <c r="CO478" s="126"/>
      <c r="CP478" s="126"/>
      <c r="CQ478" s="126"/>
      <c r="CR478" s="126"/>
      <c r="CS478" s="126"/>
      <c r="CT478" s="126"/>
      <c r="CU478" s="126"/>
      <c r="CV478" s="126"/>
      <c r="CW478" s="126"/>
      <c r="CX478" s="126"/>
      <c r="CY478" s="126"/>
      <c r="CZ478" s="126"/>
      <c r="DA478" s="126"/>
      <c r="DB478" s="126"/>
      <c r="DC478" s="126"/>
      <c r="DD478" s="126"/>
      <c r="DE478" s="126"/>
      <c r="DF478" s="126"/>
      <c r="DG478" s="126"/>
      <c r="DH478" s="126"/>
      <c r="DI478" s="126"/>
      <c r="DJ478" s="126"/>
      <c r="DK478" s="126"/>
      <c r="DL478" s="126"/>
      <c r="DM478" s="126"/>
      <c r="DN478" s="126"/>
      <c r="DO478" s="126"/>
      <c r="DP478" s="126"/>
      <c r="DQ478" s="126"/>
      <c r="DR478" s="126"/>
      <c r="DS478" s="126"/>
      <c r="DT478" s="126"/>
      <c r="DU478" s="126"/>
      <c r="DV478" s="126"/>
      <c r="DW478" s="126"/>
      <c r="DX478" s="126"/>
      <c r="DY478" s="126"/>
      <c r="DZ478" s="126"/>
      <c r="EA478" s="126"/>
      <c r="EB478" s="126"/>
      <c r="EC478" s="126"/>
      <c r="ED478" s="126"/>
      <c r="EE478" s="126"/>
      <c r="EF478" s="126"/>
      <c r="EG478" s="126"/>
      <c r="EH478" s="126"/>
      <c r="EI478" s="126"/>
      <c r="EJ478" s="126"/>
      <c r="EK478" s="126"/>
      <c r="EL478" s="126"/>
      <c r="EM478" s="126"/>
      <c r="EN478" s="126"/>
    </row>
    <row r="479" spans="1:145" ht="32.25" customHeight="1">
      <c r="A479" s="7"/>
      <c r="B479" s="246" t="s">
        <v>466</v>
      </c>
      <c r="C479" s="805" t="s">
        <v>477</v>
      </c>
      <c r="D479" s="806"/>
      <c r="E479" s="806"/>
      <c r="F479" s="806"/>
      <c r="G479" s="806"/>
      <c r="H479" s="806"/>
      <c r="I479" s="806"/>
      <c r="J479" s="806"/>
      <c r="K479" s="806"/>
      <c r="L479" s="806"/>
      <c r="M479" s="806"/>
      <c r="N479" s="481"/>
    </row>
    <row r="480" spans="1:145" ht="24" customHeight="1">
      <c r="A480" s="7"/>
      <c r="B480" s="15"/>
      <c r="C480" s="785" t="s">
        <v>210</v>
      </c>
      <c r="D480" s="786"/>
      <c r="E480" s="786"/>
      <c r="F480" s="786"/>
      <c r="G480" s="786"/>
      <c r="H480" s="786"/>
      <c r="I480" s="786"/>
      <c r="J480" s="786"/>
      <c r="K480" s="786"/>
      <c r="L480" s="786"/>
      <c r="M480" s="786"/>
      <c r="N480" s="787"/>
    </row>
    <row r="481" spans="1:145" ht="24.75" customHeight="1">
      <c r="A481" s="7"/>
      <c r="B481" s="15"/>
      <c r="C481" s="785" t="s">
        <v>211</v>
      </c>
      <c r="D481" s="786"/>
      <c r="E481" s="786"/>
      <c r="F481" s="786"/>
      <c r="G481" s="786"/>
      <c r="H481" s="786"/>
      <c r="I481" s="786"/>
      <c r="J481" s="786"/>
      <c r="K481" s="786"/>
      <c r="L481" s="786"/>
      <c r="M481" s="786"/>
      <c r="N481" s="787"/>
    </row>
    <row r="482" spans="1:145" ht="35.25" customHeight="1">
      <c r="A482" s="7"/>
      <c r="B482" s="15"/>
      <c r="C482" s="785" t="s">
        <v>212</v>
      </c>
      <c r="D482" s="786"/>
      <c r="E482" s="786"/>
      <c r="F482" s="786"/>
      <c r="G482" s="786"/>
      <c r="H482" s="786"/>
      <c r="I482" s="786"/>
      <c r="J482" s="786"/>
      <c r="K482" s="786"/>
      <c r="L482" s="786"/>
      <c r="M482" s="786"/>
      <c r="N482" s="787"/>
    </row>
    <row r="483" spans="1:145" ht="25.5" customHeight="1">
      <c r="A483" s="7"/>
      <c r="B483" s="15"/>
      <c r="C483" s="785" t="s">
        <v>213</v>
      </c>
      <c r="D483" s="786"/>
      <c r="E483" s="786"/>
      <c r="F483" s="786"/>
      <c r="G483" s="786"/>
      <c r="H483" s="786"/>
      <c r="I483" s="786"/>
      <c r="J483" s="786"/>
      <c r="K483" s="786"/>
      <c r="L483" s="786"/>
      <c r="M483" s="786"/>
      <c r="N483" s="787"/>
    </row>
    <row r="484" spans="1:145" ht="24.75" customHeight="1">
      <c r="A484" s="7"/>
      <c r="B484" s="15"/>
      <c r="C484" s="785" t="s">
        <v>214</v>
      </c>
      <c r="D484" s="786"/>
      <c r="E484" s="786"/>
      <c r="F484" s="786"/>
      <c r="G484" s="786"/>
      <c r="H484" s="786"/>
      <c r="I484" s="786"/>
      <c r="J484" s="786"/>
      <c r="K484" s="786"/>
      <c r="L484" s="786"/>
      <c r="M484" s="786"/>
      <c r="N484" s="787"/>
    </row>
    <row r="485" spans="1:145" ht="24" customHeight="1">
      <c r="A485" s="7"/>
      <c r="B485" s="15"/>
      <c r="C485" s="785" t="s">
        <v>215</v>
      </c>
      <c r="D485" s="786"/>
      <c r="E485" s="786"/>
      <c r="F485" s="786"/>
      <c r="G485" s="786"/>
      <c r="H485" s="786"/>
      <c r="I485" s="786"/>
      <c r="J485" s="786"/>
      <c r="K485" s="786"/>
      <c r="L485" s="786"/>
      <c r="M485" s="786"/>
      <c r="N485" s="787"/>
    </row>
    <row r="486" spans="1:145" ht="57.75" customHeight="1">
      <c r="A486" s="7"/>
      <c r="B486" s="721" t="s">
        <v>467</v>
      </c>
      <c r="C486" s="44" t="s">
        <v>740</v>
      </c>
      <c r="D486" s="207" t="s">
        <v>331</v>
      </c>
      <c r="E486" s="745">
        <v>136200</v>
      </c>
      <c r="F486" s="745">
        <v>136000</v>
      </c>
      <c r="G486" s="366">
        <f>F486/E486*100</f>
        <v>99.85315712187959</v>
      </c>
      <c r="H486" s="399">
        <f>G486/100</f>
        <v>0.99853157121879588</v>
      </c>
      <c r="I486" s="704" t="s">
        <v>742</v>
      </c>
      <c r="J486" s="12" t="s">
        <v>216</v>
      </c>
      <c r="K486" s="705">
        <v>17</v>
      </c>
      <c r="L486" s="705">
        <v>17</v>
      </c>
      <c r="M486" s="13">
        <f>L486/K486*100</f>
        <v>100</v>
      </c>
      <c r="N486" s="467">
        <f>M486/100</f>
        <v>1</v>
      </c>
    </row>
    <row r="487" spans="1:145" ht="57.75" customHeight="1">
      <c r="A487" s="7"/>
      <c r="B487" s="724" t="s">
        <v>468</v>
      </c>
      <c r="C487" s="44" t="s">
        <v>777</v>
      </c>
      <c r="D487" s="207" t="s">
        <v>331</v>
      </c>
      <c r="E487" s="768">
        <v>182300</v>
      </c>
      <c r="F487" s="768">
        <v>182300</v>
      </c>
      <c r="G487" s="725">
        <f t="shared" ref="G487:G490" si="35">F487/E487*100</f>
        <v>100</v>
      </c>
      <c r="H487" s="399">
        <f t="shared" ref="H487:H491" si="36">G487/100</f>
        <v>1</v>
      </c>
      <c r="I487" s="704" t="s">
        <v>743</v>
      </c>
      <c r="J487" s="12" t="s">
        <v>217</v>
      </c>
      <c r="K487" s="705">
        <v>1</v>
      </c>
      <c r="L487" s="705">
        <v>1</v>
      </c>
      <c r="M487" s="13">
        <f t="shared" ref="M487:M488" si="37">L487/K487*100</f>
        <v>100</v>
      </c>
      <c r="N487" s="467">
        <f t="shared" ref="N487:N488" si="38">M487/100</f>
        <v>1</v>
      </c>
    </row>
    <row r="488" spans="1:145" ht="113.25" customHeight="1">
      <c r="A488" s="7"/>
      <c r="B488" s="724" t="s">
        <v>767</v>
      </c>
      <c r="C488" s="44" t="s">
        <v>776</v>
      </c>
      <c r="D488" s="207" t="s">
        <v>331</v>
      </c>
      <c r="E488" s="772">
        <v>471500</v>
      </c>
      <c r="F488" s="772">
        <v>471500</v>
      </c>
      <c r="G488" s="725">
        <f t="shared" si="35"/>
        <v>100</v>
      </c>
      <c r="H488" s="399">
        <f t="shared" si="36"/>
        <v>1</v>
      </c>
      <c r="I488" s="704" t="s">
        <v>744</v>
      </c>
      <c r="J488" s="12" t="s">
        <v>12</v>
      </c>
      <c r="K488" s="705">
        <v>100</v>
      </c>
      <c r="L488" s="705">
        <v>100</v>
      </c>
      <c r="M488" s="13">
        <f t="shared" si="37"/>
        <v>100</v>
      </c>
      <c r="N488" s="467">
        <f t="shared" si="38"/>
        <v>1</v>
      </c>
    </row>
    <row r="489" spans="1:145" ht="73.5" customHeight="1">
      <c r="A489" s="7"/>
      <c r="B489" s="35" t="s">
        <v>778</v>
      </c>
      <c r="C489" s="367" t="s">
        <v>330</v>
      </c>
      <c r="D489" s="10" t="s">
        <v>331</v>
      </c>
      <c r="E489" s="772">
        <v>3859200</v>
      </c>
      <c r="F489" s="772">
        <v>3855209.52</v>
      </c>
      <c r="G489" s="725">
        <f t="shared" si="35"/>
        <v>99.896598258706476</v>
      </c>
      <c r="H489" s="399">
        <f t="shared" si="36"/>
        <v>0.9989659825870647</v>
      </c>
      <c r="I489" s="704"/>
      <c r="J489" s="12"/>
      <c r="K489" s="705"/>
      <c r="L489" s="705"/>
      <c r="M489" s="13"/>
      <c r="N489" s="467"/>
      <c r="O489" s="289"/>
    </row>
    <row r="490" spans="1:145" ht="63" customHeight="1">
      <c r="A490" s="7"/>
      <c r="B490" s="35" t="s">
        <v>779</v>
      </c>
      <c r="C490" s="367" t="s">
        <v>741</v>
      </c>
      <c r="D490" s="10" t="s">
        <v>331</v>
      </c>
      <c r="E490" s="745">
        <v>808600</v>
      </c>
      <c r="F490" s="745">
        <v>808600</v>
      </c>
      <c r="G490" s="725">
        <f t="shared" si="35"/>
        <v>100</v>
      </c>
      <c r="H490" s="399">
        <f t="shared" si="36"/>
        <v>1</v>
      </c>
      <c r="I490" s="704"/>
      <c r="J490" s="12"/>
      <c r="K490" s="705"/>
      <c r="L490" s="705"/>
      <c r="M490" s="13"/>
      <c r="N490" s="467"/>
    </row>
    <row r="491" spans="1:145" s="85" customFormat="1" ht="28.5" customHeight="1">
      <c r="B491" s="69"/>
      <c r="C491" s="61" t="s">
        <v>161</v>
      </c>
      <c r="D491" s="401"/>
      <c r="E491" s="305">
        <f>E486+E487+E488+E489+E490</f>
        <v>5457800</v>
      </c>
      <c r="F491" s="305">
        <f>F486+F487+F488+F489+F490</f>
        <v>5453609.5199999996</v>
      </c>
      <c r="G491" s="746">
        <f>F491/E491*100</f>
        <v>99.923220345194025</v>
      </c>
      <c r="H491" s="747">
        <f t="shared" si="36"/>
        <v>0.9992322034519403</v>
      </c>
      <c r="I491" s="61"/>
      <c r="J491" s="88"/>
      <c r="K491" s="265"/>
      <c r="L491" s="265"/>
      <c r="M491" s="484">
        <v>100</v>
      </c>
      <c r="N491" s="248">
        <f>M491/100</f>
        <v>1</v>
      </c>
      <c r="O491" s="28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72"/>
      <c r="AQ491" s="72"/>
      <c r="AR491" s="72"/>
      <c r="AS491" s="72"/>
      <c r="AT491" s="72"/>
      <c r="AU491" s="72"/>
      <c r="AV491" s="72"/>
      <c r="AW491" s="72"/>
      <c r="AX491" s="72"/>
      <c r="AY491" s="72"/>
      <c r="AZ491" s="72"/>
      <c r="BA491" s="72"/>
      <c r="BB491" s="72"/>
      <c r="BC491" s="72"/>
      <c r="BD491" s="72"/>
      <c r="BE491" s="72"/>
      <c r="BF491" s="72"/>
      <c r="BG491" s="72"/>
      <c r="BH491" s="72"/>
      <c r="BI491" s="72"/>
      <c r="BJ491" s="72"/>
      <c r="BK491" s="72"/>
      <c r="BL491" s="72"/>
      <c r="BM491" s="72"/>
      <c r="BN491" s="72"/>
      <c r="BO491" s="72"/>
      <c r="BP491" s="72"/>
      <c r="BQ491" s="72"/>
      <c r="BR491" s="72"/>
      <c r="BS491" s="72"/>
      <c r="BT491" s="72"/>
      <c r="BU491" s="72"/>
      <c r="BV491" s="72"/>
      <c r="BW491" s="72"/>
      <c r="BX491" s="72"/>
      <c r="BY491" s="72"/>
      <c r="BZ491" s="72"/>
      <c r="CA491" s="72"/>
      <c r="CB491" s="72"/>
      <c r="CC491" s="72"/>
      <c r="CD491" s="72"/>
      <c r="CE491" s="72"/>
      <c r="CF491" s="72"/>
      <c r="CG491" s="72"/>
      <c r="CH491" s="72"/>
      <c r="CI491" s="72"/>
      <c r="CJ491" s="72"/>
      <c r="CK491" s="72"/>
      <c r="CL491" s="72"/>
      <c r="CM491" s="72"/>
      <c r="CN491" s="72"/>
      <c r="CO491" s="72"/>
      <c r="CP491" s="72"/>
      <c r="CQ491" s="72"/>
      <c r="CR491" s="72"/>
      <c r="CS491" s="72"/>
      <c r="CT491" s="72"/>
      <c r="CU491" s="72"/>
      <c r="CV491" s="72"/>
      <c r="CW491" s="72"/>
      <c r="CX491" s="72"/>
      <c r="CY491" s="72"/>
      <c r="CZ491" s="72"/>
      <c r="DA491" s="72"/>
      <c r="DB491" s="72"/>
      <c r="DC491" s="72"/>
      <c r="DD491" s="72"/>
      <c r="DE491" s="72"/>
      <c r="DF491" s="72"/>
      <c r="DG491" s="72"/>
      <c r="DH491" s="72"/>
      <c r="DI491" s="72"/>
      <c r="DJ491" s="72"/>
      <c r="DK491" s="72"/>
      <c r="DL491" s="72"/>
      <c r="DM491" s="72"/>
      <c r="DN491" s="72"/>
      <c r="DO491" s="72"/>
      <c r="DP491" s="72"/>
      <c r="DQ491" s="72"/>
      <c r="DR491" s="72"/>
      <c r="DS491" s="72"/>
      <c r="DT491" s="72"/>
      <c r="DU491" s="72"/>
      <c r="DV491" s="72"/>
      <c r="DW491" s="72"/>
      <c r="DX491" s="72"/>
      <c r="DY491" s="72"/>
      <c r="DZ491" s="72"/>
      <c r="EA491" s="72"/>
      <c r="EB491" s="72"/>
      <c r="EC491" s="72"/>
      <c r="ED491" s="72"/>
      <c r="EE491" s="72"/>
      <c r="EF491" s="72"/>
      <c r="EG491" s="72"/>
      <c r="EH491" s="72"/>
      <c r="EI491" s="72"/>
      <c r="EJ491" s="72"/>
      <c r="EK491" s="72"/>
      <c r="EL491" s="72"/>
      <c r="EM491" s="72"/>
      <c r="EN491" s="72"/>
    </row>
    <row r="492" spans="1:145" s="64" customFormat="1" ht="42" customHeight="1">
      <c r="B492" s="378" t="s">
        <v>469</v>
      </c>
      <c r="C492" s="825" t="s">
        <v>480</v>
      </c>
      <c r="D492" s="826"/>
      <c r="E492" s="826"/>
      <c r="F492" s="826"/>
      <c r="G492" s="826"/>
      <c r="H492" s="826"/>
      <c r="I492" s="826"/>
      <c r="J492" s="826"/>
      <c r="K492" s="826"/>
      <c r="L492" s="826"/>
      <c r="M492" s="826"/>
      <c r="N492" s="827"/>
      <c r="O492" s="28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72"/>
      <c r="AQ492" s="72"/>
      <c r="AR492" s="72"/>
      <c r="AS492" s="72"/>
      <c r="AT492" s="72"/>
      <c r="AU492" s="72"/>
      <c r="AV492" s="72"/>
      <c r="AW492" s="72"/>
      <c r="AX492" s="72"/>
      <c r="AY492" s="72"/>
      <c r="AZ492" s="72"/>
      <c r="BA492" s="72"/>
      <c r="BB492" s="72"/>
      <c r="BC492" s="72"/>
      <c r="BD492" s="72"/>
      <c r="BE492" s="72"/>
      <c r="BF492" s="72"/>
      <c r="BG492" s="72"/>
      <c r="BH492" s="72"/>
      <c r="BI492" s="72"/>
      <c r="BJ492" s="72"/>
      <c r="BK492" s="72"/>
      <c r="BL492" s="72"/>
      <c r="BM492" s="72"/>
      <c r="BN492" s="72"/>
      <c r="BO492" s="72"/>
      <c r="BP492" s="72"/>
      <c r="BQ492" s="72"/>
      <c r="BR492" s="72"/>
      <c r="BS492" s="72"/>
      <c r="BT492" s="72"/>
      <c r="BU492" s="72"/>
      <c r="BV492" s="72"/>
      <c r="BW492" s="72"/>
      <c r="BX492" s="72"/>
      <c r="BY492" s="72"/>
      <c r="BZ492" s="72"/>
      <c r="CA492" s="72"/>
      <c r="CB492" s="72"/>
      <c r="CC492" s="72"/>
      <c r="CD492" s="72"/>
      <c r="CE492" s="72"/>
      <c r="CF492" s="72"/>
      <c r="CG492" s="72"/>
      <c r="CH492" s="72"/>
      <c r="CI492" s="72"/>
      <c r="CJ492" s="72"/>
      <c r="CK492" s="72"/>
      <c r="CL492" s="72"/>
      <c r="CM492" s="72"/>
      <c r="CN492" s="72"/>
      <c r="CO492" s="72"/>
      <c r="CP492" s="72"/>
      <c r="CQ492" s="72"/>
      <c r="CR492" s="72"/>
      <c r="CS492" s="72"/>
      <c r="CT492" s="72"/>
      <c r="CU492" s="72"/>
      <c r="CV492" s="72"/>
      <c r="CW492" s="72"/>
      <c r="CX492" s="72"/>
      <c r="CY492" s="72"/>
      <c r="CZ492" s="72"/>
      <c r="DA492" s="72"/>
      <c r="DB492" s="72"/>
      <c r="DC492" s="72"/>
      <c r="DD492" s="72"/>
      <c r="DE492" s="72"/>
      <c r="DF492" s="72"/>
      <c r="DG492" s="72"/>
      <c r="DH492" s="72"/>
      <c r="DI492" s="72"/>
      <c r="DJ492" s="72"/>
      <c r="DK492" s="72"/>
      <c r="DL492" s="72"/>
      <c r="DM492" s="72"/>
      <c r="DN492" s="72"/>
      <c r="DO492" s="72"/>
      <c r="DP492" s="72"/>
      <c r="DQ492" s="72"/>
      <c r="DR492" s="72"/>
      <c r="DS492" s="72"/>
      <c r="DT492" s="72"/>
      <c r="DU492" s="72"/>
      <c r="DV492" s="72"/>
      <c r="DW492" s="72"/>
      <c r="DX492" s="72"/>
      <c r="DY492" s="72"/>
      <c r="DZ492" s="72"/>
      <c r="EA492" s="72"/>
      <c r="EB492" s="72"/>
      <c r="EC492" s="72"/>
      <c r="ED492" s="72"/>
      <c r="EE492" s="72"/>
      <c r="EF492" s="72"/>
      <c r="EG492" s="72"/>
      <c r="EH492" s="72"/>
      <c r="EI492" s="72"/>
      <c r="EJ492" s="72"/>
      <c r="EK492" s="72"/>
      <c r="EL492" s="72"/>
      <c r="EM492" s="72"/>
      <c r="EN492" s="72"/>
    </row>
    <row r="493" spans="1:145" s="114" customFormat="1" ht="19.5" customHeight="1">
      <c r="B493" s="128"/>
      <c r="C493" s="828" t="s">
        <v>218</v>
      </c>
      <c r="D493" s="829"/>
      <c r="E493" s="829"/>
      <c r="F493" s="829"/>
      <c r="G493" s="829"/>
      <c r="H493" s="829"/>
      <c r="I493" s="829"/>
      <c r="J493" s="829"/>
      <c r="K493" s="829"/>
      <c r="L493" s="829"/>
      <c r="M493" s="829"/>
      <c r="N493" s="830"/>
      <c r="O493" s="288"/>
      <c r="P493" s="364"/>
      <c r="Q493" s="364"/>
      <c r="R493" s="364"/>
      <c r="S493" s="364"/>
      <c r="T493" s="364"/>
      <c r="U493" s="364"/>
      <c r="V493" s="364"/>
      <c r="W493" s="364"/>
      <c r="X493" s="364"/>
      <c r="Y493" s="364"/>
      <c r="Z493" s="364"/>
      <c r="AA493" s="364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  <c r="AP493" s="126"/>
      <c r="AQ493" s="126"/>
      <c r="AR493" s="126"/>
      <c r="AS493" s="126"/>
      <c r="AT493" s="126"/>
      <c r="AU493" s="126"/>
      <c r="AV493" s="126"/>
      <c r="AW493" s="126"/>
      <c r="AX493" s="126"/>
      <c r="AY493" s="126"/>
      <c r="AZ493" s="126"/>
      <c r="BA493" s="126"/>
      <c r="BB493" s="126"/>
      <c r="BC493" s="126"/>
      <c r="BD493" s="126"/>
      <c r="BE493" s="126"/>
      <c r="BF493" s="126"/>
      <c r="BG493" s="126"/>
      <c r="BH493" s="126"/>
      <c r="BI493" s="126"/>
      <c r="BJ493" s="126"/>
      <c r="BK493" s="126"/>
      <c r="BL493" s="126"/>
      <c r="BM493" s="126"/>
      <c r="BN493" s="126"/>
      <c r="BO493" s="126"/>
      <c r="BP493" s="126"/>
      <c r="BQ493" s="126"/>
      <c r="BR493" s="126"/>
      <c r="BS493" s="126"/>
      <c r="BT493" s="126"/>
      <c r="BU493" s="126"/>
      <c r="BV493" s="126"/>
      <c r="BW493" s="126"/>
      <c r="BX493" s="126"/>
      <c r="BY493" s="126"/>
      <c r="BZ493" s="126"/>
      <c r="CA493" s="126"/>
      <c r="CB493" s="126"/>
      <c r="CC493" s="126"/>
      <c r="CD493" s="126"/>
      <c r="CE493" s="126"/>
      <c r="CF493" s="126"/>
      <c r="CG493" s="126"/>
      <c r="CH493" s="126"/>
      <c r="CI493" s="126"/>
      <c r="CJ493" s="126"/>
      <c r="CK493" s="126"/>
      <c r="CL493" s="126"/>
      <c r="CM493" s="126"/>
      <c r="CN493" s="126"/>
      <c r="CO493" s="126"/>
      <c r="CP493" s="126"/>
      <c r="CQ493" s="126"/>
      <c r="CR493" s="126"/>
      <c r="CS493" s="126"/>
      <c r="CT493" s="126"/>
      <c r="CU493" s="126"/>
      <c r="CV493" s="126"/>
      <c r="CW493" s="126"/>
      <c r="CX493" s="126"/>
      <c r="CY493" s="126"/>
      <c r="CZ493" s="126"/>
      <c r="DA493" s="126"/>
      <c r="DB493" s="126"/>
      <c r="DC493" s="126"/>
      <c r="DD493" s="126"/>
      <c r="DE493" s="126"/>
      <c r="DF493" s="126"/>
      <c r="DG493" s="126"/>
      <c r="DH493" s="126"/>
      <c r="DI493" s="126"/>
      <c r="DJ493" s="126"/>
      <c r="DK493" s="126"/>
      <c r="DL493" s="126"/>
      <c r="DM493" s="126"/>
      <c r="DN493" s="126"/>
      <c r="DO493" s="126"/>
      <c r="DP493" s="126"/>
      <c r="DQ493" s="126"/>
      <c r="DR493" s="126"/>
      <c r="DS493" s="126"/>
      <c r="DT493" s="126"/>
      <c r="DU493" s="126"/>
      <c r="DV493" s="126"/>
      <c r="DW493" s="126"/>
      <c r="DX493" s="126"/>
      <c r="DY493" s="126"/>
      <c r="DZ493" s="126"/>
      <c r="EA493" s="126"/>
      <c r="EB493" s="126"/>
      <c r="EC493" s="126"/>
      <c r="ED493" s="126"/>
      <c r="EE493" s="126"/>
      <c r="EF493" s="126"/>
      <c r="EG493" s="126"/>
      <c r="EH493" s="126"/>
      <c r="EI493" s="126"/>
      <c r="EJ493" s="126"/>
      <c r="EK493" s="126"/>
      <c r="EL493" s="126"/>
      <c r="EM493" s="126"/>
      <c r="EN493" s="126"/>
    </row>
    <row r="494" spans="1:145" s="114" customFormat="1" ht="26.25" customHeight="1">
      <c r="B494" s="128"/>
      <c r="C494" s="828" t="s">
        <v>219</v>
      </c>
      <c r="D494" s="829"/>
      <c r="E494" s="829"/>
      <c r="F494" s="829"/>
      <c r="G494" s="829"/>
      <c r="H494" s="829"/>
      <c r="I494" s="829"/>
      <c r="J494" s="829"/>
      <c r="K494" s="829"/>
      <c r="L494" s="829"/>
      <c r="M494" s="829"/>
      <c r="N494" s="830"/>
      <c r="O494" s="288"/>
      <c r="P494" s="364"/>
      <c r="Q494" s="364"/>
      <c r="R494" s="364"/>
      <c r="S494" s="364"/>
      <c r="T494" s="364"/>
      <c r="U494" s="364"/>
      <c r="V494" s="364"/>
      <c r="W494" s="364"/>
      <c r="X494" s="364"/>
      <c r="Y494" s="364"/>
      <c r="Z494" s="364"/>
      <c r="AA494" s="364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  <c r="AP494" s="126"/>
      <c r="AQ494" s="126"/>
      <c r="AR494" s="126"/>
      <c r="AS494" s="126"/>
      <c r="AT494" s="126"/>
      <c r="AU494" s="126"/>
      <c r="AV494" s="126"/>
      <c r="AW494" s="126"/>
      <c r="AX494" s="126"/>
      <c r="AY494" s="126"/>
      <c r="AZ494" s="126"/>
      <c r="BA494" s="126"/>
      <c r="BB494" s="126"/>
      <c r="BC494" s="126"/>
      <c r="BD494" s="126"/>
      <c r="BE494" s="126"/>
      <c r="BF494" s="126"/>
      <c r="BG494" s="126"/>
      <c r="BH494" s="126"/>
      <c r="BI494" s="126"/>
      <c r="BJ494" s="126"/>
      <c r="BK494" s="126"/>
      <c r="BL494" s="126"/>
      <c r="BM494" s="126"/>
      <c r="BN494" s="126"/>
      <c r="BO494" s="126"/>
      <c r="BP494" s="126"/>
      <c r="BQ494" s="126"/>
      <c r="BR494" s="126"/>
      <c r="BS494" s="126"/>
      <c r="BT494" s="126"/>
      <c r="BU494" s="126"/>
      <c r="BV494" s="126"/>
      <c r="BW494" s="126"/>
      <c r="BX494" s="126"/>
      <c r="BY494" s="126"/>
      <c r="BZ494" s="126"/>
      <c r="CA494" s="126"/>
      <c r="CB494" s="126"/>
      <c r="CC494" s="126"/>
      <c r="CD494" s="126"/>
      <c r="CE494" s="126"/>
      <c r="CF494" s="126"/>
      <c r="CG494" s="126"/>
      <c r="CH494" s="126"/>
      <c r="CI494" s="126"/>
      <c r="CJ494" s="126"/>
      <c r="CK494" s="126"/>
      <c r="CL494" s="126"/>
      <c r="CM494" s="126"/>
      <c r="CN494" s="126"/>
      <c r="CO494" s="126"/>
      <c r="CP494" s="126"/>
      <c r="CQ494" s="126"/>
      <c r="CR494" s="126"/>
      <c r="CS494" s="126"/>
      <c r="CT494" s="126"/>
      <c r="CU494" s="126"/>
      <c r="CV494" s="126"/>
      <c r="CW494" s="126"/>
      <c r="CX494" s="126"/>
      <c r="CY494" s="126"/>
      <c r="CZ494" s="126"/>
      <c r="DA494" s="126"/>
      <c r="DB494" s="126"/>
      <c r="DC494" s="126"/>
      <c r="DD494" s="126"/>
      <c r="DE494" s="126"/>
      <c r="DF494" s="126"/>
      <c r="DG494" s="126"/>
      <c r="DH494" s="126"/>
      <c r="DI494" s="126"/>
      <c r="DJ494" s="126"/>
      <c r="DK494" s="126"/>
      <c r="DL494" s="126"/>
      <c r="DM494" s="126"/>
      <c r="DN494" s="126"/>
      <c r="DO494" s="126"/>
      <c r="DP494" s="126"/>
      <c r="DQ494" s="126"/>
      <c r="DR494" s="126"/>
      <c r="DS494" s="126"/>
      <c r="DT494" s="126"/>
      <c r="DU494" s="126"/>
      <c r="DV494" s="126"/>
      <c r="DW494" s="126"/>
      <c r="DX494" s="126"/>
      <c r="DY494" s="126"/>
      <c r="DZ494" s="126"/>
      <c r="EA494" s="126"/>
      <c r="EB494" s="126"/>
      <c r="EC494" s="126"/>
      <c r="ED494" s="126"/>
      <c r="EE494" s="126"/>
      <c r="EF494" s="126"/>
      <c r="EG494" s="126"/>
      <c r="EH494" s="126"/>
      <c r="EI494" s="126"/>
      <c r="EJ494" s="126"/>
      <c r="EK494" s="126"/>
      <c r="EL494" s="126"/>
      <c r="EM494" s="126"/>
      <c r="EN494" s="126"/>
    </row>
    <row r="495" spans="1:145" s="114" customFormat="1" ht="23.25" customHeight="1">
      <c r="B495" s="129"/>
      <c r="C495" s="843" t="s">
        <v>220</v>
      </c>
      <c r="D495" s="844"/>
      <c r="E495" s="844"/>
      <c r="F495" s="844"/>
      <c r="G495" s="844"/>
      <c r="H495" s="844"/>
      <c r="I495" s="844"/>
      <c r="J495" s="844"/>
      <c r="K495" s="844"/>
      <c r="L495" s="844"/>
      <c r="M495" s="844"/>
      <c r="N495" s="844"/>
      <c r="O495" s="288"/>
      <c r="P495" s="364"/>
      <c r="Q495" s="364"/>
      <c r="R495" s="364"/>
      <c r="S495" s="364"/>
      <c r="T495" s="364"/>
      <c r="U495" s="364"/>
      <c r="V495" s="364"/>
      <c r="W495" s="364"/>
      <c r="X495" s="364"/>
      <c r="Y495" s="364"/>
      <c r="Z495" s="364"/>
      <c r="AA495" s="364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6"/>
      <c r="CH495" s="126"/>
      <c r="CI495" s="126"/>
      <c r="CJ495" s="126"/>
      <c r="CK495" s="126"/>
      <c r="CL495" s="126"/>
      <c r="CM495" s="126"/>
      <c r="CN495" s="126"/>
      <c r="CO495" s="126"/>
      <c r="CP495" s="126"/>
      <c r="CQ495" s="126"/>
      <c r="CR495" s="126"/>
      <c r="CS495" s="126"/>
      <c r="CT495" s="126"/>
      <c r="CU495" s="126"/>
      <c r="CV495" s="126"/>
      <c r="CW495" s="126"/>
      <c r="CX495" s="126"/>
      <c r="CY495" s="126"/>
      <c r="CZ495" s="126"/>
      <c r="DA495" s="126"/>
      <c r="DB495" s="126"/>
      <c r="DC495" s="126"/>
      <c r="DD495" s="126"/>
      <c r="DE495" s="126"/>
      <c r="DF495" s="126"/>
      <c r="DG495" s="126"/>
      <c r="DH495" s="126"/>
      <c r="DI495" s="126"/>
      <c r="DJ495" s="126"/>
      <c r="DK495" s="126"/>
      <c r="DL495" s="126"/>
      <c r="DM495" s="126"/>
      <c r="DN495" s="126"/>
      <c r="DO495" s="126"/>
      <c r="DP495" s="126"/>
      <c r="DQ495" s="126"/>
      <c r="DR495" s="126"/>
      <c r="DS495" s="126"/>
      <c r="DT495" s="126"/>
      <c r="DU495" s="126"/>
      <c r="DV495" s="126"/>
      <c r="DW495" s="126"/>
      <c r="DX495" s="126"/>
      <c r="DY495" s="126"/>
      <c r="DZ495" s="126"/>
      <c r="EA495" s="126"/>
      <c r="EB495" s="126"/>
      <c r="EC495" s="126"/>
      <c r="ED495" s="126"/>
      <c r="EE495" s="126"/>
      <c r="EF495" s="126"/>
      <c r="EG495" s="126"/>
      <c r="EH495" s="126"/>
      <c r="EI495" s="126"/>
      <c r="EJ495" s="126"/>
      <c r="EK495" s="126"/>
      <c r="EL495" s="126"/>
      <c r="EM495" s="126"/>
      <c r="EN495" s="126"/>
    </row>
    <row r="496" spans="1:145" s="118" customFormat="1" ht="53.25" customHeight="1">
      <c r="B496" s="599" t="s">
        <v>731</v>
      </c>
      <c r="C496" s="73" t="s">
        <v>561</v>
      </c>
      <c r="D496" s="599" t="s">
        <v>331</v>
      </c>
      <c r="E496" s="601">
        <v>0</v>
      </c>
      <c r="F496" s="601">
        <v>0</v>
      </c>
      <c r="G496" s="152">
        <v>0</v>
      </c>
      <c r="H496" s="152">
        <v>0</v>
      </c>
      <c r="I496" s="120" t="s">
        <v>221</v>
      </c>
      <c r="J496" s="131" t="s">
        <v>23</v>
      </c>
      <c r="K496" s="274">
        <v>0</v>
      </c>
      <c r="L496" s="274">
        <v>0</v>
      </c>
      <c r="M496" s="132">
        <v>0</v>
      </c>
      <c r="N496" s="250">
        <v>0</v>
      </c>
      <c r="O496" s="288"/>
      <c r="P496" s="364"/>
      <c r="Q496" s="364"/>
      <c r="R496" s="364"/>
      <c r="S496" s="364"/>
      <c r="T496" s="364"/>
      <c r="U496" s="364"/>
      <c r="V496" s="364"/>
      <c r="W496" s="364"/>
      <c r="X496" s="364"/>
      <c r="Y496" s="364"/>
      <c r="Z496" s="364"/>
      <c r="AA496" s="364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  <c r="AP496" s="126"/>
      <c r="AQ496" s="126"/>
      <c r="AR496" s="126"/>
      <c r="AS496" s="126"/>
      <c r="AT496" s="126"/>
      <c r="AU496" s="126"/>
      <c r="AV496" s="126"/>
      <c r="AW496" s="126"/>
      <c r="AX496" s="126"/>
      <c r="AY496" s="126"/>
      <c r="AZ496" s="126"/>
      <c r="BA496" s="126"/>
      <c r="BB496" s="126"/>
      <c r="BC496" s="126"/>
      <c r="BD496" s="126"/>
      <c r="BE496" s="126"/>
      <c r="BF496" s="126"/>
      <c r="BG496" s="126"/>
      <c r="BH496" s="126"/>
      <c r="BI496" s="126"/>
      <c r="BJ496" s="126"/>
      <c r="BK496" s="126"/>
      <c r="BL496" s="126"/>
      <c r="BM496" s="126"/>
      <c r="BN496" s="126"/>
      <c r="BO496" s="126"/>
      <c r="BP496" s="126"/>
      <c r="BQ496" s="126"/>
      <c r="BR496" s="126"/>
      <c r="BS496" s="126"/>
      <c r="BT496" s="126"/>
      <c r="BU496" s="126"/>
      <c r="BV496" s="126"/>
      <c r="BW496" s="126"/>
      <c r="BX496" s="126"/>
      <c r="BY496" s="126"/>
      <c r="BZ496" s="126"/>
      <c r="CA496" s="126"/>
      <c r="CB496" s="126"/>
      <c r="CC496" s="126"/>
      <c r="CD496" s="126"/>
      <c r="CE496" s="126"/>
      <c r="CF496" s="126"/>
      <c r="CG496" s="126"/>
      <c r="CH496" s="126"/>
      <c r="CI496" s="126"/>
      <c r="CJ496" s="126"/>
      <c r="CK496" s="126"/>
      <c r="CL496" s="126"/>
      <c r="CM496" s="126"/>
      <c r="CN496" s="126"/>
      <c r="CO496" s="126"/>
      <c r="CP496" s="126"/>
      <c r="CQ496" s="126"/>
      <c r="CR496" s="126"/>
      <c r="CS496" s="126"/>
      <c r="CT496" s="126"/>
      <c r="CU496" s="126"/>
      <c r="CV496" s="126"/>
      <c r="CW496" s="126"/>
      <c r="CX496" s="126"/>
      <c r="CY496" s="126"/>
      <c r="CZ496" s="126"/>
      <c r="DA496" s="126"/>
      <c r="DB496" s="126"/>
      <c r="DC496" s="126"/>
      <c r="DD496" s="126"/>
      <c r="DE496" s="126"/>
      <c r="DF496" s="126"/>
      <c r="DG496" s="126"/>
      <c r="DH496" s="126"/>
      <c r="DI496" s="126"/>
      <c r="DJ496" s="126"/>
      <c r="DK496" s="126"/>
      <c r="DL496" s="126"/>
      <c r="DM496" s="126"/>
      <c r="DN496" s="126"/>
      <c r="DO496" s="126"/>
      <c r="DP496" s="126"/>
      <c r="DQ496" s="126"/>
      <c r="DR496" s="126"/>
      <c r="DS496" s="126"/>
      <c r="DT496" s="126"/>
      <c r="DU496" s="126"/>
      <c r="DV496" s="126"/>
      <c r="DW496" s="126"/>
      <c r="DX496" s="126"/>
      <c r="DY496" s="126"/>
      <c r="DZ496" s="126"/>
      <c r="EA496" s="126"/>
      <c r="EB496" s="126"/>
      <c r="EC496" s="126"/>
      <c r="ED496" s="126"/>
      <c r="EE496" s="126"/>
      <c r="EF496" s="126"/>
      <c r="EG496" s="126"/>
      <c r="EH496" s="126"/>
      <c r="EI496" s="126"/>
      <c r="EJ496" s="126"/>
      <c r="EK496" s="126"/>
      <c r="EL496" s="126"/>
      <c r="EM496" s="126"/>
      <c r="EN496" s="126"/>
      <c r="EO496" s="136"/>
    </row>
    <row r="497" spans="1:145" s="118" customFormat="1" ht="45.75" customHeight="1">
      <c r="B497" s="117"/>
      <c r="C497" s="119"/>
      <c r="D497" s="117"/>
      <c r="E497" s="601"/>
      <c r="F497" s="601"/>
      <c r="G497" s="132"/>
      <c r="H497" s="603"/>
      <c r="I497" s="377" t="s">
        <v>222</v>
      </c>
      <c r="J497" s="131">
        <v>0</v>
      </c>
      <c r="K497" s="274">
        <v>0</v>
      </c>
      <c r="L497" s="274">
        <v>0</v>
      </c>
      <c r="M497" s="132">
        <v>0</v>
      </c>
      <c r="N497" s="250">
        <v>0</v>
      </c>
      <c r="O497" s="288"/>
      <c r="P497" s="364"/>
      <c r="Q497" s="364"/>
      <c r="R497" s="364"/>
      <c r="S497" s="364"/>
      <c r="T497" s="364"/>
      <c r="U497" s="364"/>
      <c r="V497" s="364"/>
      <c r="W497" s="364"/>
      <c r="X497" s="364"/>
      <c r="Y497" s="364"/>
      <c r="Z497" s="364"/>
      <c r="AA497" s="364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  <c r="AP497" s="126"/>
      <c r="AQ497" s="126"/>
      <c r="AR497" s="126"/>
      <c r="AS497" s="126"/>
      <c r="AT497" s="126"/>
      <c r="AU497" s="126"/>
      <c r="AV497" s="126"/>
      <c r="AW497" s="126"/>
      <c r="AX497" s="126"/>
      <c r="AY497" s="126"/>
      <c r="AZ497" s="126"/>
      <c r="BA497" s="126"/>
      <c r="BB497" s="126"/>
      <c r="BC497" s="126"/>
      <c r="BD497" s="126"/>
      <c r="BE497" s="126"/>
      <c r="BF497" s="126"/>
      <c r="BG497" s="126"/>
      <c r="BH497" s="126"/>
      <c r="BI497" s="126"/>
      <c r="BJ497" s="126"/>
      <c r="BK497" s="126"/>
      <c r="BL497" s="126"/>
      <c r="BM497" s="126"/>
      <c r="BN497" s="126"/>
      <c r="BO497" s="126"/>
      <c r="BP497" s="126"/>
      <c r="BQ497" s="126"/>
      <c r="BR497" s="126"/>
      <c r="BS497" s="126"/>
      <c r="BT497" s="126"/>
      <c r="BU497" s="126"/>
      <c r="BV497" s="126"/>
      <c r="BW497" s="126"/>
      <c r="BX497" s="126"/>
      <c r="BY497" s="126"/>
      <c r="BZ497" s="126"/>
      <c r="CA497" s="126"/>
      <c r="CB497" s="126"/>
      <c r="CC497" s="126"/>
      <c r="CD497" s="126"/>
      <c r="CE497" s="126"/>
      <c r="CF497" s="126"/>
      <c r="CG497" s="126"/>
      <c r="CH497" s="126"/>
      <c r="CI497" s="126"/>
      <c r="CJ497" s="126"/>
      <c r="CK497" s="126"/>
      <c r="CL497" s="126"/>
      <c r="CM497" s="126"/>
      <c r="CN497" s="126"/>
      <c r="CO497" s="126"/>
      <c r="CP497" s="126"/>
      <c r="CQ497" s="126"/>
      <c r="CR497" s="126"/>
      <c r="CS497" s="126"/>
      <c r="CT497" s="126"/>
      <c r="CU497" s="126"/>
      <c r="CV497" s="126"/>
      <c r="CW497" s="126"/>
      <c r="CX497" s="126"/>
      <c r="CY497" s="126"/>
      <c r="CZ497" s="126"/>
      <c r="DA497" s="126"/>
      <c r="DB497" s="126"/>
      <c r="DC497" s="126"/>
      <c r="DD497" s="126"/>
      <c r="DE497" s="126"/>
      <c r="DF497" s="126"/>
      <c r="DG497" s="126"/>
      <c r="DH497" s="126"/>
      <c r="DI497" s="126"/>
      <c r="DJ497" s="126"/>
      <c r="DK497" s="126"/>
      <c r="DL497" s="126"/>
      <c r="DM497" s="126"/>
      <c r="DN497" s="126"/>
      <c r="DO497" s="126"/>
      <c r="DP497" s="126"/>
      <c r="DQ497" s="126"/>
      <c r="DR497" s="126"/>
      <c r="DS497" s="126"/>
      <c r="DT497" s="126"/>
      <c r="DU497" s="126"/>
      <c r="DV497" s="126"/>
      <c r="DW497" s="126"/>
      <c r="DX497" s="126"/>
      <c r="DY497" s="126"/>
      <c r="DZ497" s="126"/>
      <c r="EA497" s="126"/>
      <c r="EB497" s="126"/>
      <c r="EC497" s="126"/>
      <c r="ED497" s="126"/>
      <c r="EE497" s="126"/>
      <c r="EF497" s="126"/>
      <c r="EG497" s="126"/>
      <c r="EH497" s="126"/>
      <c r="EI497" s="126"/>
      <c r="EJ497" s="126"/>
      <c r="EK497" s="126"/>
      <c r="EL497" s="126"/>
      <c r="EM497" s="126"/>
      <c r="EN497" s="126"/>
      <c r="EO497" s="136"/>
    </row>
    <row r="498" spans="1:145" s="68" customFormat="1" ht="75" customHeight="1">
      <c r="B498" s="66"/>
      <c r="C498" s="161"/>
      <c r="D498" s="422"/>
      <c r="E498" s="602"/>
      <c r="F498" s="602"/>
      <c r="G498" s="604"/>
      <c r="H498" s="442"/>
      <c r="I498" s="377" t="s">
        <v>223</v>
      </c>
      <c r="J498" s="130" t="s">
        <v>23</v>
      </c>
      <c r="K498" s="273">
        <v>0</v>
      </c>
      <c r="L498" s="273">
        <v>0</v>
      </c>
      <c r="M498" s="47">
        <v>0</v>
      </c>
      <c r="N498" s="254">
        <v>0</v>
      </c>
      <c r="O498" s="28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72"/>
      <c r="AQ498" s="72"/>
      <c r="AR498" s="72"/>
      <c r="AS498" s="72"/>
      <c r="AT498" s="72"/>
      <c r="AU498" s="72"/>
      <c r="AV498" s="72"/>
      <c r="AW498" s="72"/>
      <c r="AX498" s="72"/>
      <c r="AY498" s="72"/>
      <c r="AZ498" s="72"/>
      <c r="BA498" s="72"/>
      <c r="BB498" s="72"/>
      <c r="BC498" s="72"/>
      <c r="BD498" s="72"/>
      <c r="BE498" s="72"/>
      <c r="BF498" s="72"/>
      <c r="BG498" s="72"/>
      <c r="BH498" s="72"/>
      <c r="BI498" s="72"/>
      <c r="BJ498" s="72"/>
      <c r="BK498" s="72"/>
      <c r="BL498" s="72"/>
      <c r="BM498" s="72"/>
      <c r="BN498" s="72"/>
      <c r="BO498" s="72"/>
      <c r="BP498" s="72"/>
      <c r="BQ498" s="72"/>
      <c r="BR498" s="72"/>
      <c r="BS498" s="72"/>
      <c r="BT498" s="72"/>
      <c r="BU498" s="72"/>
      <c r="BV498" s="72"/>
      <c r="BW498" s="72"/>
      <c r="BX498" s="72"/>
      <c r="BY498" s="72"/>
      <c r="BZ498" s="72"/>
      <c r="CA498" s="72"/>
      <c r="CB498" s="72"/>
      <c r="CC498" s="72"/>
      <c r="CD498" s="72"/>
      <c r="CE498" s="72"/>
      <c r="CF498" s="72"/>
      <c r="CG498" s="72"/>
      <c r="CH498" s="72"/>
      <c r="CI498" s="72"/>
      <c r="CJ498" s="72"/>
      <c r="CK498" s="72"/>
      <c r="CL498" s="72"/>
      <c r="CM498" s="72"/>
      <c r="CN498" s="72"/>
      <c r="CO498" s="72"/>
      <c r="CP498" s="72"/>
      <c r="CQ498" s="72"/>
      <c r="CR498" s="72"/>
      <c r="CS498" s="72"/>
      <c r="CT498" s="72"/>
      <c r="CU498" s="72"/>
      <c r="CV498" s="72"/>
      <c r="CW498" s="72"/>
      <c r="CX498" s="72"/>
      <c r="CY498" s="72"/>
      <c r="CZ498" s="72"/>
      <c r="DA498" s="72"/>
      <c r="DB498" s="72"/>
      <c r="DC498" s="72"/>
      <c r="DD498" s="72"/>
      <c r="DE498" s="72"/>
      <c r="DF498" s="72"/>
      <c r="DG498" s="72"/>
      <c r="DH498" s="72"/>
      <c r="DI498" s="72"/>
      <c r="DJ498" s="72"/>
      <c r="DK498" s="72"/>
      <c r="DL498" s="72"/>
      <c r="DM498" s="72"/>
      <c r="DN498" s="72"/>
      <c r="DO498" s="72"/>
      <c r="DP498" s="72"/>
      <c r="DQ498" s="72"/>
      <c r="DR498" s="72"/>
      <c r="DS498" s="72"/>
      <c r="DT498" s="72"/>
      <c r="DU498" s="72"/>
      <c r="DV498" s="72"/>
      <c r="DW498" s="72"/>
      <c r="DX498" s="72"/>
      <c r="DY498" s="72"/>
      <c r="DZ498" s="72"/>
      <c r="EA498" s="72"/>
      <c r="EB498" s="72"/>
      <c r="EC498" s="72"/>
      <c r="ED498" s="72"/>
      <c r="EE498" s="72"/>
      <c r="EF498" s="72"/>
      <c r="EG498" s="72"/>
      <c r="EH498" s="72"/>
      <c r="EI498" s="72"/>
      <c r="EJ498" s="72"/>
      <c r="EK498" s="72"/>
      <c r="EL498" s="72"/>
      <c r="EM498" s="72"/>
      <c r="EN498" s="72"/>
      <c r="EO498" s="137"/>
    </row>
    <row r="499" spans="1:145" s="72" customFormat="1" ht="54.75" customHeight="1">
      <c r="B499" s="706" t="s">
        <v>475</v>
      </c>
      <c r="C499" s="825" t="s">
        <v>745</v>
      </c>
      <c r="D499" s="826"/>
      <c r="E499" s="826"/>
      <c r="F499" s="826"/>
      <c r="G499" s="826"/>
      <c r="H499" s="826"/>
      <c r="I499" s="826"/>
      <c r="J499" s="826"/>
      <c r="K499" s="826"/>
      <c r="L499" s="826"/>
      <c r="M499" s="826"/>
      <c r="N499" s="827"/>
      <c r="O499" s="28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</row>
    <row r="500" spans="1:145" s="72" customFormat="1" ht="54.75" customHeight="1">
      <c r="B500" s="66"/>
      <c r="C500" s="708"/>
      <c r="D500" s="708"/>
      <c r="E500" s="708"/>
      <c r="F500" s="708"/>
      <c r="G500" s="708"/>
      <c r="H500" s="708"/>
      <c r="I500" s="703" t="s">
        <v>746</v>
      </c>
      <c r="J500" s="705" t="s">
        <v>749</v>
      </c>
      <c r="K500" s="705">
        <v>0</v>
      </c>
      <c r="L500" s="705">
        <v>0</v>
      </c>
      <c r="M500" s="132">
        <v>0</v>
      </c>
      <c r="N500" s="709">
        <v>0</v>
      </c>
      <c r="O500" s="28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</row>
    <row r="501" spans="1:145" s="72" customFormat="1" ht="54.75" customHeight="1">
      <c r="B501" s="66"/>
      <c r="C501" s="708"/>
      <c r="D501" s="708"/>
      <c r="E501" s="708"/>
      <c r="F501" s="708"/>
      <c r="G501" s="708"/>
      <c r="H501" s="708"/>
      <c r="I501" s="703" t="s">
        <v>747</v>
      </c>
      <c r="J501" s="705" t="s">
        <v>750</v>
      </c>
      <c r="K501" s="705">
        <v>7</v>
      </c>
      <c r="L501" s="705">
        <v>7</v>
      </c>
      <c r="M501" s="132">
        <f>L501/K501*100</f>
        <v>100</v>
      </c>
      <c r="N501" s="709">
        <f>M501/100</f>
        <v>1</v>
      </c>
      <c r="O501" s="28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</row>
    <row r="502" spans="1:145" s="72" customFormat="1" ht="54.75" customHeight="1">
      <c r="B502" s="707"/>
      <c r="C502" s="707"/>
      <c r="D502" s="707"/>
      <c r="E502" s="707"/>
      <c r="F502" s="707"/>
      <c r="G502" s="707"/>
      <c r="H502" s="707"/>
      <c r="I502" s="703" t="s">
        <v>748</v>
      </c>
      <c r="J502" s="705" t="s">
        <v>749</v>
      </c>
      <c r="K502" s="705">
        <v>0</v>
      </c>
      <c r="L502" s="705">
        <v>0</v>
      </c>
      <c r="M502" s="224" t="s">
        <v>114</v>
      </c>
      <c r="N502" s="710" t="s">
        <v>114</v>
      </c>
      <c r="O502" s="28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</row>
    <row r="503" spans="1:145" s="85" customFormat="1" ht="34.5" customHeight="1">
      <c r="B503" s="121"/>
      <c r="C503" s="160" t="s">
        <v>40</v>
      </c>
      <c r="D503" s="414"/>
      <c r="E503" s="600">
        <f>E496</f>
        <v>0</v>
      </c>
      <c r="F503" s="600">
        <f>F496</f>
        <v>0</v>
      </c>
      <c r="G503" s="605">
        <v>0</v>
      </c>
      <c r="H503" s="606">
        <v>0</v>
      </c>
      <c r="I503" s="584"/>
      <c r="J503" s="122"/>
      <c r="K503" s="275"/>
      <c r="L503" s="275"/>
      <c r="M503" s="507">
        <v>100</v>
      </c>
      <c r="N503" s="249">
        <v>1</v>
      </c>
      <c r="O503" s="28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72"/>
      <c r="AQ503" s="72"/>
      <c r="AR503" s="72"/>
      <c r="AS503" s="72"/>
      <c r="AT503" s="72"/>
      <c r="AU503" s="72"/>
      <c r="AV503" s="72"/>
      <c r="AW503" s="72"/>
      <c r="AX503" s="72"/>
      <c r="AY503" s="72"/>
      <c r="AZ503" s="72"/>
      <c r="BA503" s="72"/>
      <c r="BB503" s="72"/>
      <c r="BC503" s="72"/>
      <c r="BD503" s="72"/>
      <c r="BE503" s="72"/>
      <c r="BF503" s="72"/>
      <c r="BG503" s="72"/>
      <c r="BH503" s="72"/>
      <c r="BI503" s="72"/>
      <c r="BJ503" s="72"/>
      <c r="BK503" s="72"/>
      <c r="BL503" s="72"/>
      <c r="BM503" s="72"/>
      <c r="BN503" s="72"/>
      <c r="BO503" s="72"/>
      <c r="BP503" s="72"/>
      <c r="BQ503" s="72"/>
      <c r="BR503" s="72"/>
      <c r="BS503" s="72"/>
      <c r="BT503" s="72"/>
      <c r="BU503" s="72"/>
      <c r="BV503" s="72"/>
      <c r="BW503" s="72"/>
      <c r="BX503" s="72"/>
      <c r="BY503" s="72"/>
      <c r="BZ503" s="72"/>
      <c r="CA503" s="72"/>
      <c r="CB503" s="72"/>
      <c r="CC503" s="72"/>
      <c r="CD503" s="72"/>
      <c r="CE503" s="72"/>
      <c r="CF503" s="72"/>
      <c r="CG503" s="72"/>
      <c r="CH503" s="72"/>
      <c r="CI503" s="72"/>
      <c r="CJ503" s="72"/>
      <c r="CK503" s="72"/>
      <c r="CL503" s="72"/>
      <c r="CM503" s="72"/>
      <c r="CN503" s="72"/>
      <c r="CO503" s="72"/>
      <c r="CP503" s="72"/>
      <c r="CQ503" s="72"/>
      <c r="CR503" s="72"/>
      <c r="CS503" s="72"/>
      <c r="CT503" s="72"/>
      <c r="CU503" s="72"/>
      <c r="CV503" s="72"/>
      <c r="CW503" s="72"/>
      <c r="CX503" s="72"/>
      <c r="CY503" s="72"/>
      <c r="CZ503" s="72"/>
      <c r="DA503" s="72"/>
      <c r="DB503" s="72"/>
      <c r="DC503" s="72"/>
      <c r="DD503" s="72"/>
      <c r="DE503" s="72"/>
      <c r="DF503" s="72"/>
      <c r="DG503" s="72"/>
      <c r="DH503" s="72"/>
      <c r="DI503" s="72"/>
      <c r="DJ503" s="72"/>
      <c r="DK503" s="72"/>
      <c r="DL503" s="72"/>
      <c r="DM503" s="72"/>
      <c r="DN503" s="72"/>
      <c r="DO503" s="72"/>
      <c r="DP503" s="72"/>
      <c r="DQ503" s="72"/>
      <c r="DR503" s="72"/>
      <c r="DS503" s="72"/>
      <c r="DT503" s="72"/>
      <c r="DU503" s="72"/>
      <c r="DV503" s="72"/>
      <c r="DW503" s="72"/>
      <c r="DX503" s="72"/>
      <c r="DY503" s="72"/>
      <c r="DZ503" s="72"/>
      <c r="EA503" s="72"/>
      <c r="EB503" s="72"/>
      <c r="EC503" s="72"/>
      <c r="ED503" s="72"/>
      <c r="EE503" s="72"/>
      <c r="EF503" s="72"/>
      <c r="EG503" s="72"/>
      <c r="EH503" s="72"/>
      <c r="EI503" s="72"/>
      <c r="EJ503" s="72"/>
      <c r="EK503" s="72"/>
      <c r="EL503" s="72"/>
      <c r="EM503" s="72"/>
      <c r="EN503" s="72"/>
    </row>
    <row r="504" spans="1:145" s="572" customFormat="1" ht="40.5" customHeight="1">
      <c r="A504" s="572" t="e">
        <f>F504/F464*100</f>
        <v>#DIV/0!</v>
      </c>
      <c r="B504" s="488"/>
      <c r="C504" s="582" t="s">
        <v>465</v>
      </c>
      <c r="D504" s="488"/>
      <c r="E504" s="571">
        <f>E491+E503</f>
        <v>5457800</v>
      </c>
      <c r="F504" s="748">
        <f>F491+F503</f>
        <v>5453609.5199999996</v>
      </c>
      <c r="G504" s="559">
        <f>F504/E504*100</f>
        <v>99.923220345194025</v>
      </c>
      <c r="H504" s="496">
        <f>G504/100</f>
        <v>0.9992322034519403</v>
      </c>
      <c r="I504" s="850" t="s">
        <v>534</v>
      </c>
      <c r="J504" s="851"/>
      <c r="K504" s="851"/>
      <c r="L504" s="852"/>
      <c r="M504" s="499">
        <v>100</v>
      </c>
      <c r="N504" s="583">
        <v>1</v>
      </c>
      <c r="O504" s="491"/>
      <c r="P504" s="388"/>
      <c r="Q504" s="388"/>
      <c r="R504" s="388"/>
      <c r="S504" s="388"/>
      <c r="T504" s="388"/>
      <c r="U504" s="388"/>
      <c r="V504" s="388"/>
      <c r="W504" s="388"/>
      <c r="X504" s="388"/>
      <c r="Y504" s="388"/>
      <c r="Z504" s="388"/>
      <c r="AA504" s="388"/>
      <c r="AB504" s="238"/>
      <c r="AC504" s="238"/>
      <c r="AD504" s="238"/>
      <c r="AE504" s="238"/>
      <c r="AF504" s="238"/>
      <c r="AG504" s="238"/>
      <c r="AH504" s="238"/>
      <c r="AI504" s="238"/>
      <c r="AJ504" s="238"/>
      <c r="AK504" s="238"/>
      <c r="AL504" s="238"/>
      <c r="AM504" s="238"/>
      <c r="AN504" s="238"/>
      <c r="AO504" s="238"/>
      <c r="AP504" s="238"/>
      <c r="AQ504" s="238"/>
      <c r="AR504" s="238"/>
      <c r="AS504" s="238"/>
      <c r="AT504" s="238"/>
      <c r="AU504" s="238"/>
      <c r="AV504" s="238"/>
      <c r="AW504" s="238"/>
      <c r="AX504" s="238"/>
      <c r="AY504" s="238"/>
      <c r="AZ504" s="238"/>
      <c r="BA504" s="238"/>
      <c r="BB504" s="238"/>
      <c r="BC504" s="238"/>
      <c r="BD504" s="238"/>
      <c r="BE504" s="238"/>
      <c r="BF504" s="238"/>
      <c r="BG504" s="238"/>
      <c r="BH504" s="238"/>
      <c r="BI504" s="238"/>
      <c r="BJ504" s="238"/>
      <c r="BK504" s="238"/>
      <c r="BL504" s="238"/>
      <c r="BM504" s="238"/>
      <c r="BN504" s="238"/>
      <c r="BO504" s="238"/>
      <c r="BP504" s="238"/>
      <c r="BQ504" s="238"/>
      <c r="BR504" s="238"/>
      <c r="BS504" s="238"/>
      <c r="BT504" s="238"/>
      <c r="BU504" s="238"/>
      <c r="BV504" s="238"/>
      <c r="BW504" s="238"/>
      <c r="BX504" s="238"/>
      <c r="BY504" s="238"/>
      <c r="BZ504" s="238"/>
      <c r="CA504" s="238"/>
      <c r="CB504" s="238"/>
      <c r="CC504" s="238"/>
      <c r="CD504" s="238"/>
      <c r="CE504" s="238"/>
      <c r="CF504" s="238"/>
      <c r="CG504" s="238"/>
      <c r="CH504" s="238"/>
      <c r="CI504" s="238"/>
      <c r="CJ504" s="238"/>
      <c r="CK504" s="238"/>
      <c r="CL504" s="238"/>
      <c r="CM504" s="238"/>
      <c r="CN504" s="238"/>
      <c r="CO504" s="238"/>
      <c r="CP504" s="238"/>
      <c r="CQ504" s="238"/>
      <c r="CR504" s="238"/>
      <c r="CS504" s="238"/>
      <c r="CT504" s="238"/>
      <c r="CU504" s="238"/>
      <c r="CV504" s="238"/>
      <c r="CW504" s="238"/>
      <c r="CX504" s="238"/>
      <c r="CY504" s="238"/>
      <c r="CZ504" s="238"/>
      <c r="DA504" s="238"/>
      <c r="DB504" s="238"/>
      <c r="DC504" s="238"/>
      <c r="DD504" s="238"/>
      <c r="DE504" s="238"/>
      <c r="DF504" s="238"/>
      <c r="DG504" s="238"/>
      <c r="DH504" s="238"/>
      <c r="DI504" s="238"/>
      <c r="DJ504" s="238"/>
      <c r="DK504" s="238"/>
      <c r="DL504" s="238"/>
      <c r="DM504" s="238"/>
      <c r="DN504" s="238"/>
      <c r="DO504" s="238"/>
      <c r="DP504" s="238"/>
      <c r="DQ504" s="238"/>
      <c r="DR504" s="238"/>
      <c r="DS504" s="238"/>
      <c r="DT504" s="238"/>
      <c r="DU504" s="238"/>
      <c r="DV504" s="238"/>
      <c r="DW504" s="238"/>
      <c r="DX504" s="238"/>
      <c r="DY504" s="238"/>
      <c r="DZ504" s="238"/>
      <c r="EA504" s="238"/>
      <c r="EB504" s="238"/>
      <c r="EC504" s="238"/>
      <c r="ED504" s="238"/>
      <c r="EE504" s="238"/>
      <c r="EF504" s="238"/>
      <c r="EG504" s="238"/>
      <c r="EH504" s="238"/>
      <c r="EI504" s="238"/>
      <c r="EJ504" s="238"/>
      <c r="EK504" s="238"/>
      <c r="EL504" s="238"/>
      <c r="EM504" s="238"/>
      <c r="EN504" s="238"/>
    </row>
    <row r="505" spans="1:145" s="65" customFormat="1" ht="30.75" customHeight="1">
      <c r="B505" s="133"/>
      <c r="C505" s="162" t="s">
        <v>516</v>
      </c>
      <c r="D505" s="500" t="s">
        <v>520</v>
      </c>
      <c r="E505" s="522">
        <v>0</v>
      </c>
      <c r="F505" s="522">
        <v>0</v>
      </c>
      <c r="G505" s="399"/>
      <c r="H505" s="437"/>
      <c r="I505" s="134"/>
      <c r="J505" s="134"/>
      <c r="K505" s="134"/>
      <c r="L505" s="134"/>
      <c r="M505" s="110"/>
      <c r="N505" s="551"/>
      <c r="O505" s="28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72"/>
      <c r="AQ505" s="72"/>
      <c r="AR505" s="72"/>
      <c r="AS505" s="72"/>
      <c r="AT505" s="72"/>
      <c r="AU505" s="72"/>
      <c r="AV505" s="72"/>
      <c r="AW505" s="72"/>
      <c r="AX505" s="72"/>
      <c r="AY505" s="72"/>
      <c r="AZ505" s="72"/>
      <c r="BA505" s="72"/>
      <c r="BB505" s="72"/>
      <c r="BC505" s="72"/>
      <c r="BD505" s="72"/>
      <c r="BE505" s="72"/>
      <c r="BF505" s="72"/>
      <c r="BG505" s="72"/>
      <c r="BH505" s="72"/>
      <c r="BI505" s="72"/>
      <c r="BJ505" s="72"/>
      <c r="BK505" s="72"/>
      <c r="BL505" s="72"/>
      <c r="BM505" s="72"/>
      <c r="BN505" s="72"/>
      <c r="BO505" s="72"/>
      <c r="BP505" s="72"/>
      <c r="BQ505" s="72"/>
      <c r="BR505" s="72"/>
      <c r="BS505" s="72"/>
      <c r="BT505" s="72"/>
      <c r="BU505" s="72"/>
      <c r="BV505" s="72"/>
      <c r="BW505" s="72"/>
      <c r="BX505" s="72"/>
      <c r="BY505" s="72"/>
      <c r="BZ505" s="72"/>
      <c r="CA505" s="72"/>
      <c r="CB505" s="72"/>
      <c r="CC505" s="72"/>
      <c r="CD505" s="72"/>
      <c r="CE505" s="72"/>
      <c r="CF505" s="72"/>
      <c r="CG505" s="72"/>
      <c r="CH505" s="72"/>
      <c r="CI505" s="72"/>
      <c r="CJ505" s="72"/>
      <c r="CK505" s="72"/>
      <c r="CL505" s="72"/>
      <c r="CM505" s="72"/>
      <c r="CN505" s="72"/>
      <c r="CO505" s="72"/>
      <c r="CP505" s="72"/>
      <c r="CQ505" s="72"/>
      <c r="CR505" s="72"/>
      <c r="CS505" s="72"/>
      <c r="CT505" s="72"/>
      <c r="CU505" s="72"/>
      <c r="CV505" s="72"/>
      <c r="CW505" s="72"/>
      <c r="CX505" s="72"/>
      <c r="CY505" s="72"/>
      <c r="CZ505" s="72"/>
      <c r="DA505" s="72"/>
      <c r="DB505" s="72"/>
      <c r="DC505" s="72"/>
      <c r="DD505" s="72"/>
      <c r="DE505" s="72"/>
      <c r="DF505" s="72"/>
      <c r="DG505" s="72"/>
      <c r="DH505" s="72"/>
      <c r="DI505" s="72"/>
      <c r="DJ505" s="72"/>
      <c r="DK505" s="72"/>
      <c r="DL505" s="72"/>
      <c r="DM505" s="72"/>
      <c r="DN505" s="72"/>
      <c r="DO505" s="72"/>
      <c r="DP505" s="72"/>
      <c r="DQ505" s="72"/>
      <c r="DR505" s="72"/>
      <c r="DS505" s="72"/>
      <c r="DT505" s="72"/>
      <c r="DU505" s="72"/>
      <c r="DV505" s="72"/>
      <c r="DW505" s="72"/>
      <c r="DX505" s="72"/>
      <c r="DY505" s="72"/>
      <c r="DZ505" s="72"/>
      <c r="EA505" s="72"/>
      <c r="EB505" s="72"/>
      <c r="EC505" s="72"/>
      <c r="ED505" s="72"/>
      <c r="EE505" s="72"/>
      <c r="EF505" s="72"/>
      <c r="EG505" s="72"/>
      <c r="EH505" s="72"/>
      <c r="EI505" s="72"/>
      <c r="EJ505" s="72"/>
      <c r="EK505" s="72"/>
      <c r="EL505" s="72"/>
      <c r="EM505" s="72"/>
      <c r="EN505" s="72"/>
    </row>
    <row r="506" spans="1:145" s="65" customFormat="1" ht="30.75" customHeight="1">
      <c r="B506" s="133"/>
      <c r="C506" s="162" t="s">
        <v>517</v>
      </c>
      <c r="D506" s="500" t="s">
        <v>329</v>
      </c>
      <c r="E506" s="775">
        <f>1548.4*1000</f>
        <v>1548400</v>
      </c>
      <c r="F506" s="775">
        <f>1598.4*1000</f>
        <v>1598400</v>
      </c>
      <c r="G506" s="399"/>
      <c r="H506" s="437"/>
      <c r="I506" s="134"/>
      <c r="J506" s="134"/>
      <c r="K506" s="134"/>
      <c r="L506" s="134"/>
      <c r="M506" s="110"/>
      <c r="N506" s="551"/>
      <c r="O506" s="28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72"/>
      <c r="AQ506" s="72"/>
      <c r="AR506" s="72"/>
      <c r="AS506" s="72"/>
      <c r="AT506" s="72"/>
      <c r="AU506" s="72"/>
      <c r="AV506" s="72"/>
      <c r="AW506" s="72"/>
      <c r="AX506" s="72"/>
      <c r="AY506" s="72"/>
      <c r="AZ506" s="72"/>
      <c r="BA506" s="72"/>
      <c r="BB506" s="72"/>
      <c r="BC506" s="72"/>
      <c r="BD506" s="72"/>
      <c r="BE506" s="72"/>
      <c r="BF506" s="72"/>
      <c r="BG506" s="72"/>
      <c r="BH506" s="72"/>
      <c r="BI506" s="72"/>
      <c r="BJ506" s="72"/>
      <c r="BK506" s="72"/>
      <c r="BL506" s="72"/>
      <c r="BM506" s="72"/>
      <c r="BN506" s="72"/>
      <c r="BO506" s="72"/>
      <c r="BP506" s="72"/>
      <c r="BQ506" s="72"/>
      <c r="BR506" s="72"/>
      <c r="BS506" s="72"/>
      <c r="BT506" s="72"/>
      <c r="BU506" s="72"/>
      <c r="BV506" s="72"/>
      <c r="BW506" s="72"/>
      <c r="BX506" s="72"/>
      <c r="BY506" s="72"/>
      <c r="BZ506" s="72"/>
      <c r="CA506" s="72"/>
      <c r="CB506" s="72"/>
      <c r="CC506" s="72"/>
      <c r="CD506" s="72"/>
      <c r="CE506" s="72"/>
      <c r="CF506" s="72"/>
      <c r="CG506" s="72"/>
      <c r="CH506" s="72"/>
      <c r="CI506" s="72"/>
      <c r="CJ506" s="72"/>
      <c r="CK506" s="72"/>
      <c r="CL506" s="72"/>
      <c r="CM506" s="72"/>
      <c r="CN506" s="72"/>
      <c r="CO506" s="72"/>
      <c r="CP506" s="72"/>
      <c r="CQ506" s="72"/>
      <c r="CR506" s="72"/>
      <c r="CS506" s="72"/>
      <c r="CT506" s="72"/>
      <c r="CU506" s="72"/>
      <c r="CV506" s="72"/>
      <c r="CW506" s="72"/>
      <c r="CX506" s="72"/>
      <c r="CY506" s="72"/>
      <c r="CZ506" s="72"/>
      <c r="DA506" s="72"/>
      <c r="DB506" s="72"/>
      <c r="DC506" s="72"/>
      <c r="DD506" s="72"/>
      <c r="DE506" s="72"/>
      <c r="DF506" s="72"/>
      <c r="DG506" s="72"/>
      <c r="DH506" s="72"/>
      <c r="DI506" s="72"/>
      <c r="DJ506" s="72"/>
      <c r="DK506" s="72"/>
      <c r="DL506" s="72"/>
      <c r="DM506" s="72"/>
      <c r="DN506" s="72"/>
      <c r="DO506" s="72"/>
      <c r="DP506" s="72"/>
      <c r="DQ506" s="72"/>
      <c r="DR506" s="72"/>
      <c r="DS506" s="72"/>
      <c r="DT506" s="72"/>
      <c r="DU506" s="72"/>
      <c r="DV506" s="72"/>
      <c r="DW506" s="72"/>
      <c r="DX506" s="72"/>
      <c r="DY506" s="72"/>
      <c r="DZ506" s="72"/>
      <c r="EA506" s="72"/>
      <c r="EB506" s="72"/>
      <c r="EC506" s="72"/>
      <c r="ED506" s="72"/>
      <c r="EE506" s="72"/>
      <c r="EF506" s="72"/>
      <c r="EG506" s="72"/>
      <c r="EH506" s="72"/>
      <c r="EI506" s="72"/>
      <c r="EJ506" s="72"/>
      <c r="EK506" s="72"/>
      <c r="EL506" s="72"/>
      <c r="EM506" s="72"/>
      <c r="EN506" s="72"/>
    </row>
    <row r="507" spans="1:145" s="65" customFormat="1" ht="30.75" customHeight="1">
      <c r="B507" s="133"/>
      <c r="C507" s="162" t="s">
        <v>518</v>
      </c>
      <c r="D507" s="500" t="s">
        <v>521</v>
      </c>
      <c r="E507" s="775">
        <f>3859.4*1000</f>
        <v>3859400</v>
      </c>
      <c r="F507" s="775">
        <f>3855.3*1000</f>
        <v>3855300</v>
      </c>
      <c r="G507" s="399"/>
      <c r="H507" s="437"/>
      <c r="I507" s="134"/>
      <c r="J507" s="134"/>
      <c r="K507" s="134"/>
      <c r="L507" s="134"/>
      <c r="M507" s="110"/>
      <c r="N507" s="551"/>
      <c r="O507" s="28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72"/>
      <c r="AQ507" s="72"/>
      <c r="AR507" s="72"/>
      <c r="AS507" s="72"/>
      <c r="AT507" s="72"/>
      <c r="AU507" s="72"/>
      <c r="AV507" s="72"/>
      <c r="AW507" s="72"/>
      <c r="AX507" s="72"/>
      <c r="AY507" s="72"/>
      <c r="AZ507" s="72"/>
      <c r="BA507" s="72"/>
      <c r="BB507" s="72"/>
      <c r="BC507" s="72"/>
      <c r="BD507" s="72"/>
      <c r="BE507" s="72"/>
      <c r="BF507" s="72"/>
      <c r="BG507" s="72"/>
      <c r="BH507" s="72"/>
      <c r="BI507" s="72"/>
      <c r="BJ507" s="72"/>
      <c r="BK507" s="72"/>
      <c r="BL507" s="72"/>
      <c r="BM507" s="72"/>
      <c r="BN507" s="72"/>
      <c r="BO507" s="72"/>
      <c r="BP507" s="72"/>
      <c r="BQ507" s="72"/>
      <c r="BR507" s="72"/>
      <c r="BS507" s="72"/>
      <c r="BT507" s="72"/>
      <c r="BU507" s="72"/>
      <c r="BV507" s="72"/>
      <c r="BW507" s="72"/>
      <c r="BX507" s="72"/>
      <c r="BY507" s="72"/>
      <c r="BZ507" s="72"/>
      <c r="CA507" s="72"/>
      <c r="CB507" s="72"/>
      <c r="CC507" s="72"/>
      <c r="CD507" s="72"/>
      <c r="CE507" s="72"/>
      <c r="CF507" s="72"/>
      <c r="CG507" s="72"/>
      <c r="CH507" s="72"/>
      <c r="CI507" s="72"/>
      <c r="CJ507" s="72"/>
      <c r="CK507" s="72"/>
      <c r="CL507" s="72"/>
      <c r="CM507" s="72"/>
      <c r="CN507" s="72"/>
      <c r="CO507" s="72"/>
      <c r="CP507" s="72"/>
      <c r="CQ507" s="72"/>
      <c r="CR507" s="72"/>
      <c r="CS507" s="72"/>
      <c r="CT507" s="72"/>
      <c r="CU507" s="72"/>
      <c r="CV507" s="72"/>
      <c r="CW507" s="72"/>
      <c r="CX507" s="72"/>
      <c r="CY507" s="72"/>
      <c r="CZ507" s="72"/>
      <c r="DA507" s="72"/>
      <c r="DB507" s="72"/>
      <c r="DC507" s="72"/>
      <c r="DD507" s="72"/>
      <c r="DE507" s="72"/>
      <c r="DF507" s="72"/>
      <c r="DG507" s="72"/>
      <c r="DH507" s="72"/>
      <c r="DI507" s="72"/>
      <c r="DJ507" s="72"/>
      <c r="DK507" s="72"/>
      <c r="DL507" s="72"/>
      <c r="DM507" s="72"/>
      <c r="DN507" s="72"/>
      <c r="DO507" s="72"/>
      <c r="DP507" s="72"/>
      <c r="DQ507" s="72"/>
      <c r="DR507" s="72"/>
      <c r="DS507" s="72"/>
      <c r="DT507" s="72"/>
      <c r="DU507" s="72"/>
      <c r="DV507" s="72"/>
      <c r="DW507" s="72"/>
      <c r="DX507" s="72"/>
      <c r="DY507" s="72"/>
      <c r="DZ507" s="72"/>
      <c r="EA507" s="72"/>
      <c r="EB507" s="72"/>
      <c r="EC507" s="72"/>
      <c r="ED507" s="72"/>
      <c r="EE507" s="72"/>
      <c r="EF507" s="72"/>
      <c r="EG507" s="72"/>
      <c r="EH507" s="72"/>
      <c r="EI507" s="72"/>
      <c r="EJ507" s="72"/>
      <c r="EK507" s="72"/>
      <c r="EL507" s="72"/>
      <c r="EM507" s="72"/>
      <c r="EN507" s="72"/>
    </row>
    <row r="508" spans="1:145" s="125" customFormat="1" ht="41.25" customHeight="1">
      <c r="B508" s="171"/>
      <c r="C508" s="820" t="s">
        <v>567</v>
      </c>
      <c r="D508" s="836"/>
      <c r="E508" s="836"/>
      <c r="F508" s="836"/>
      <c r="G508" s="836"/>
      <c r="H508" s="836"/>
      <c r="I508" s="836"/>
      <c r="J508" s="836"/>
      <c r="K508" s="836"/>
      <c r="L508" s="836"/>
      <c r="M508" s="836"/>
      <c r="N508" s="837"/>
      <c r="O508" s="288"/>
      <c r="P508" s="382"/>
      <c r="Q508" s="382"/>
      <c r="R508" s="382"/>
      <c r="S508" s="382"/>
      <c r="T508" s="382"/>
      <c r="U508" s="382"/>
      <c r="V508" s="382"/>
      <c r="W508" s="382"/>
      <c r="X508" s="388"/>
      <c r="Y508" s="388"/>
      <c r="Z508" s="388"/>
      <c r="AA508" s="388"/>
      <c r="AB508" s="238"/>
      <c r="AC508" s="238"/>
      <c r="AD508" s="238"/>
      <c r="AE508" s="238"/>
      <c r="AF508" s="238"/>
      <c r="AG508" s="238"/>
      <c r="AH508" s="238"/>
      <c r="AI508" s="238"/>
      <c r="AJ508" s="238"/>
      <c r="AK508" s="238"/>
      <c r="AL508" s="238"/>
      <c r="AM508" s="238"/>
      <c r="AN508" s="238"/>
      <c r="AO508" s="238"/>
      <c r="AP508" s="238"/>
      <c r="AQ508" s="238"/>
      <c r="AR508" s="238"/>
      <c r="AS508" s="238"/>
      <c r="AT508" s="238"/>
      <c r="AU508" s="238"/>
      <c r="AV508" s="238"/>
      <c r="AW508" s="238"/>
      <c r="AX508" s="238"/>
      <c r="AY508" s="238"/>
      <c r="AZ508" s="238"/>
      <c r="BA508" s="238"/>
      <c r="BB508" s="238"/>
      <c r="BC508" s="238"/>
      <c r="BD508" s="238"/>
      <c r="BE508" s="238"/>
      <c r="BF508" s="238"/>
      <c r="BG508" s="238"/>
      <c r="BH508" s="238"/>
      <c r="BI508" s="238"/>
      <c r="BJ508" s="238"/>
      <c r="BK508" s="238"/>
      <c r="BL508" s="238"/>
      <c r="BM508" s="238"/>
      <c r="BN508" s="238"/>
      <c r="BO508" s="238"/>
      <c r="BP508" s="238"/>
      <c r="BQ508" s="238"/>
      <c r="BR508" s="238"/>
      <c r="BS508" s="238"/>
      <c r="BT508" s="238"/>
      <c r="BU508" s="238"/>
      <c r="BV508" s="238"/>
      <c r="BW508" s="238"/>
      <c r="BX508" s="238"/>
      <c r="BY508" s="238"/>
      <c r="BZ508" s="238"/>
      <c r="CA508" s="238"/>
      <c r="CB508" s="238"/>
      <c r="CC508" s="238"/>
      <c r="CD508" s="238"/>
      <c r="CE508" s="238"/>
      <c r="CF508" s="238"/>
      <c r="CG508" s="238"/>
      <c r="CH508" s="238"/>
      <c r="CI508" s="238"/>
      <c r="CJ508" s="238"/>
      <c r="CK508" s="238"/>
      <c r="CL508" s="238"/>
      <c r="CM508" s="238"/>
      <c r="CN508" s="238"/>
      <c r="CO508" s="238"/>
      <c r="CP508" s="238"/>
      <c r="CQ508" s="238"/>
      <c r="CR508" s="238"/>
      <c r="CS508" s="238"/>
      <c r="CT508" s="238"/>
      <c r="CU508" s="238"/>
      <c r="CV508" s="238"/>
      <c r="CW508" s="238"/>
      <c r="CX508" s="238"/>
      <c r="CY508" s="238"/>
      <c r="CZ508" s="238"/>
      <c r="DA508" s="238"/>
      <c r="DB508" s="238"/>
      <c r="DC508" s="238"/>
      <c r="DD508" s="238"/>
      <c r="DE508" s="238"/>
      <c r="DF508" s="238"/>
      <c r="DG508" s="238"/>
      <c r="DH508" s="238"/>
      <c r="DI508" s="238"/>
      <c r="DJ508" s="238"/>
      <c r="DK508" s="238"/>
      <c r="DL508" s="238"/>
      <c r="DM508" s="238"/>
      <c r="DN508" s="238"/>
      <c r="DO508" s="238"/>
      <c r="DP508" s="238"/>
      <c r="DQ508" s="238"/>
      <c r="DR508" s="238"/>
      <c r="DS508" s="238"/>
      <c r="DT508" s="238"/>
      <c r="DU508" s="238"/>
      <c r="DV508" s="238"/>
      <c r="DW508" s="238"/>
      <c r="DX508" s="238"/>
      <c r="DY508" s="238"/>
      <c r="DZ508" s="238"/>
      <c r="EA508" s="238"/>
      <c r="EB508" s="238"/>
      <c r="EC508" s="238"/>
      <c r="ED508" s="238"/>
      <c r="EE508" s="238"/>
      <c r="EF508" s="238"/>
      <c r="EG508" s="238"/>
      <c r="EH508" s="238"/>
      <c r="EI508" s="238"/>
      <c r="EJ508" s="238"/>
      <c r="EK508" s="238"/>
      <c r="EL508" s="238"/>
      <c r="EM508" s="238"/>
      <c r="EN508" s="238"/>
    </row>
    <row r="509" spans="1:145" s="167" customFormat="1" ht="32.25" customHeight="1">
      <c r="B509" s="183" t="s">
        <v>768</v>
      </c>
      <c r="C509" s="841" t="s">
        <v>562</v>
      </c>
      <c r="D509" s="842"/>
      <c r="E509" s="842"/>
      <c r="F509" s="842"/>
      <c r="G509" s="842"/>
      <c r="H509" s="842"/>
      <c r="I509" s="842"/>
      <c r="J509" s="842"/>
      <c r="K509" s="842"/>
      <c r="L509" s="842"/>
      <c r="M509" s="842"/>
      <c r="N509" s="473"/>
      <c r="O509" s="910"/>
      <c r="P509" s="607"/>
      <c r="Q509" s="607"/>
      <c r="R509" s="607"/>
      <c r="S509" s="607"/>
      <c r="T509" s="607"/>
      <c r="U509" s="607"/>
      <c r="V509" s="607"/>
      <c r="W509" s="607"/>
      <c r="X509" s="607"/>
      <c r="Y509" s="607"/>
      <c r="Z509" s="607"/>
      <c r="AA509" s="607"/>
      <c r="AB509" s="607"/>
      <c r="AC509" s="607"/>
      <c r="AD509" s="607"/>
      <c r="AE509" s="607"/>
      <c r="AF509" s="607"/>
      <c r="AG509" s="607"/>
      <c r="AH509" s="607"/>
      <c r="AI509" s="607"/>
      <c r="AJ509" s="607"/>
      <c r="AK509" s="607"/>
      <c r="AL509" s="607"/>
      <c r="AM509" s="607"/>
      <c r="AN509" s="607"/>
      <c r="AO509" s="607"/>
      <c r="AP509" s="607"/>
      <c r="AQ509" s="607"/>
      <c r="AR509" s="607"/>
      <c r="AS509" s="607"/>
      <c r="AT509" s="607"/>
      <c r="AU509" s="607"/>
      <c r="AV509" s="607"/>
      <c r="AW509" s="607"/>
      <c r="AX509" s="607"/>
      <c r="AY509" s="607"/>
      <c r="AZ509" s="607"/>
      <c r="BA509" s="607"/>
      <c r="BB509" s="607"/>
      <c r="BC509" s="607"/>
      <c r="BD509" s="607"/>
      <c r="BE509" s="607"/>
      <c r="BF509" s="607"/>
      <c r="BG509" s="607"/>
      <c r="BH509" s="607"/>
      <c r="BI509" s="607"/>
      <c r="BJ509" s="607"/>
      <c r="BK509" s="607"/>
      <c r="BL509" s="607"/>
      <c r="BM509" s="607"/>
      <c r="BN509" s="607"/>
      <c r="BO509" s="607"/>
      <c r="BP509" s="607"/>
      <c r="BQ509" s="607"/>
      <c r="BR509" s="607"/>
      <c r="BS509" s="607"/>
      <c r="BT509" s="607"/>
      <c r="BU509" s="607"/>
      <c r="BV509" s="607"/>
      <c r="BW509" s="607"/>
      <c r="BX509" s="607"/>
      <c r="BY509" s="607"/>
      <c r="BZ509" s="607"/>
      <c r="CA509" s="607"/>
      <c r="CB509" s="607"/>
      <c r="CC509" s="607"/>
      <c r="CD509" s="607"/>
      <c r="CE509" s="607"/>
      <c r="CF509" s="607"/>
      <c r="CG509" s="607"/>
      <c r="CH509" s="607"/>
      <c r="CI509" s="607"/>
      <c r="CJ509" s="607"/>
      <c r="CK509" s="607"/>
      <c r="CL509" s="607"/>
      <c r="CM509" s="607"/>
      <c r="CN509" s="607"/>
      <c r="CO509" s="607"/>
      <c r="CP509" s="607"/>
      <c r="CQ509" s="607"/>
      <c r="CR509" s="607"/>
      <c r="CS509" s="607"/>
      <c r="CT509" s="607"/>
      <c r="CU509" s="607"/>
      <c r="CV509" s="607"/>
      <c r="CW509" s="607"/>
      <c r="CX509" s="607"/>
      <c r="CY509" s="607"/>
      <c r="CZ509" s="607"/>
      <c r="DA509" s="607"/>
      <c r="DB509" s="607"/>
      <c r="DC509" s="607"/>
      <c r="DD509" s="607"/>
      <c r="DE509" s="607"/>
      <c r="DF509" s="607"/>
      <c r="DG509" s="607"/>
      <c r="DH509" s="607"/>
      <c r="DI509" s="607"/>
      <c r="DJ509" s="607"/>
      <c r="DK509" s="607"/>
      <c r="DL509" s="607"/>
      <c r="DM509" s="607"/>
      <c r="DN509" s="607"/>
      <c r="DO509" s="607"/>
      <c r="DP509" s="607"/>
      <c r="DQ509" s="607"/>
      <c r="DR509" s="607"/>
      <c r="DS509" s="607"/>
      <c r="DT509" s="607"/>
      <c r="DU509" s="607"/>
      <c r="DV509" s="607"/>
      <c r="DW509" s="607"/>
      <c r="DX509" s="607"/>
      <c r="DY509" s="607"/>
      <c r="DZ509" s="607"/>
      <c r="EA509" s="607"/>
      <c r="EB509" s="607"/>
      <c r="EC509" s="607"/>
      <c r="ED509" s="607"/>
      <c r="EE509" s="607"/>
      <c r="EF509" s="607"/>
      <c r="EG509" s="607"/>
      <c r="EH509" s="607"/>
      <c r="EI509" s="607"/>
      <c r="EJ509" s="607"/>
      <c r="EK509" s="607"/>
      <c r="EL509" s="607"/>
      <c r="EM509" s="607"/>
      <c r="EN509" s="607"/>
    </row>
    <row r="510" spans="1:145" ht="24" customHeight="1">
      <c r="A510" s="7"/>
      <c r="B510" s="596"/>
      <c r="C510" s="785" t="s">
        <v>563</v>
      </c>
      <c r="D510" s="786"/>
      <c r="E510" s="786"/>
      <c r="F510" s="786"/>
      <c r="G510" s="786"/>
      <c r="H510" s="786"/>
      <c r="I510" s="786"/>
      <c r="J510" s="786"/>
      <c r="K510" s="786"/>
      <c r="L510" s="786"/>
      <c r="M510" s="786"/>
      <c r="N510" s="787"/>
    </row>
    <row r="511" spans="1:145" ht="35.25" customHeight="1">
      <c r="A511" s="7"/>
      <c r="B511" s="596"/>
      <c r="C511" s="785" t="s">
        <v>564</v>
      </c>
      <c r="D511" s="786"/>
      <c r="E511" s="786"/>
      <c r="F511" s="786"/>
      <c r="G511" s="786"/>
      <c r="H511" s="786"/>
      <c r="I511" s="786"/>
      <c r="J511" s="786"/>
      <c r="K511" s="786"/>
      <c r="L511" s="786"/>
      <c r="M511" s="786"/>
      <c r="N511" s="787"/>
    </row>
    <row r="512" spans="1:145" ht="57.75" customHeight="1">
      <c r="A512" s="7"/>
      <c r="B512" s="721" t="s">
        <v>479</v>
      </c>
      <c r="C512" s="44" t="s">
        <v>751</v>
      </c>
      <c r="D512" s="207" t="s">
        <v>362</v>
      </c>
      <c r="E512" s="728">
        <v>3839014.02</v>
      </c>
      <c r="F512" s="728">
        <v>3839014.02</v>
      </c>
      <c r="G512" s="597">
        <f>F512/E512*100</f>
        <v>100</v>
      </c>
      <c r="H512" s="399">
        <v>1</v>
      </c>
      <c r="I512" s="367" t="s">
        <v>752</v>
      </c>
      <c r="J512" s="12" t="s">
        <v>565</v>
      </c>
      <c r="K512" s="257">
        <v>40</v>
      </c>
      <c r="L512" s="257">
        <v>40</v>
      </c>
      <c r="M512" s="13">
        <v>100</v>
      </c>
      <c r="N512" s="714">
        <v>1</v>
      </c>
      <c r="O512" s="289"/>
    </row>
    <row r="513" spans="1:144" s="85" customFormat="1" ht="28.5" customHeight="1">
      <c r="B513" s="69"/>
      <c r="C513" s="61" t="s">
        <v>161</v>
      </c>
      <c r="D513" s="401"/>
      <c r="E513" s="305">
        <f>E512</f>
        <v>3839014.02</v>
      </c>
      <c r="F513" s="305">
        <f>F512</f>
        <v>3839014.02</v>
      </c>
      <c r="G513" s="305">
        <f>G512</f>
        <v>100</v>
      </c>
      <c r="H513" s="456">
        <v>1</v>
      </c>
      <c r="I513" s="61"/>
      <c r="J513" s="88"/>
      <c r="K513" s="265"/>
      <c r="L513" s="265"/>
      <c r="M513" s="715">
        <v>100</v>
      </c>
      <c r="N513" s="248">
        <v>1</v>
      </c>
      <c r="O513" s="28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72"/>
      <c r="AQ513" s="72"/>
      <c r="AR513" s="72"/>
      <c r="AS513" s="72"/>
      <c r="AT513" s="72"/>
      <c r="AU513" s="72"/>
      <c r="AV513" s="72"/>
      <c r="AW513" s="72"/>
      <c r="AX513" s="72"/>
      <c r="AY513" s="72"/>
      <c r="AZ513" s="72"/>
      <c r="BA513" s="72"/>
      <c r="BB513" s="72"/>
      <c r="BC513" s="72"/>
      <c r="BD513" s="72"/>
      <c r="BE513" s="72"/>
      <c r="BF513" s="72"/>
      <c r="BG513" s="72"/>
      <c r="BH513" s="72"/>
      <c r="BI513" s="72"/>
      <c r="BJ513" s="72"/>
      <c r="BK513" s="72"/>
      <c r="BL513" s="72"/>
      <c r="BM513" s="72"/>
      <c r="BN513" s="72"/>
      <c r="BO513" s="72"/>
      <c r="BP513" s="72"/>
      <c r="BQ513" s="72"/>
      <c r="BR513" s="72"/>
      <c r="BS513" s="72"/>
      <c r="BT513" s="72"/>
      <c r="BU513" s="72"/>
      <c r="BV513" s="72"/>
      <c r="BW513" s="72"/>
      <c r="BX513" s="72"/>
      <c r="BY513" s="72"/>
      <c r="BZ513" s="72"/>
      <c r="CA513" s="72"/>
      <c r="CB513" s="72"/>
      <c r="CC513" s="72"/>
      <c r="CD513" s="72"/>
      <c r="CE513" s="72"/>
      <c r="CF513" s="72"/>
      <c r="CG513" s="72"/>
      <c r="CH513" s="72"/>
      <c r="CI513" s="72"/>
      <c r="CJ513" s="72"/>
      <c r="CK513" s="72"/>
      <c r="CL513" s="72"/>
      <c r="CM513" s="72"/>
      <c r="CN513" s="72"/>
      <c r="CO513" s="72"/>
      <c r="CP513" s="72"/>
      <c r="CQ513" s="72"/>
      <c r="CR513" s="72"/>
      <c r="CS513" s="72"/>
      <c r="CT513" s="72"/>
      <c r="CU513" s="72"/>
      <c r="CV513" s="72"/>
      <c r="CW513" s="72"/>
      <c r="CX513" s="72"/>
      <c r="CY513" s="72"/>
      <c r="CZ513" s="72"/>
      <c r="DA513" s="72"/>
      <c r="DB513" s="72"/>
      <c r="DC513" s="72"/>
      <c r="DD513" s="72"/>
      <c r="DE513" s="72"/>
      <c r="DF513" s="72"/>
      <c r="DG513" s="72"/>
      <c r="DH513" s="72"/>
      <c r="DI513" s="72"/>
      <c r="DJ513" s="72"/>
      <c r="DK513" s="72"/>
      <c r="DL513" s="72"/>
      <c r="DM513" s="72"/>
      <c r="DN513" s="72"/>
      <c r="DO513" s="72"/>
      <c r="DP513" s="72"/>
      <c r="DQ513" s="72"/>
      <c r="DR513" s="72"/>
      <c r="DS513" s="72"/>
      <c r="DT513" s="72"/>
      <c r="DU513" s="72"/>
      <c r="DV513" s="72"/>
      <c r="DW513" s="72"/>
      <c r="DX513" s="72"/>
      <c r="DY513" s="72"/>
      <c r="DZ513" s="72"/>
      <c r="EA513" s="72"/>
      <c r="EB513" s="72"/>
      <c r="EC513" s="72"/>
      <c r="ED513" s="72"/>
      <c r="EE513" s="72"/>
      <c r="EF513" s="72"/>
      <c r="EG513" s="72"/>
      <c r="EH513" s="72"/>
      <c r="EI513" s="72"/>
      <c r="EJ513" s="72"/>
      <c r="EK513" s="72"/>
      <c r="EL513" s="72"/>
      <c r="EM513" s="72"/>
      <c r="EN513" s="72"/>
    </row>
    <row r="514" spans="1:144" s="572" customFormat="1" ht="40.5" customHeight="1">
      <c r="A514" s="572" t="e">
        <f>F514/F475*100</f>
        <v>#DIV/0!</v>
      </c>
      <c r="B514" s="488"/>
      <c r="C514" s="582" t="s">
        <v>481</v>
      </c>
      <c r="D514" s="488"/>
      <c r="E514" s="571">
        <f>E513</f>
        <v>3839014.02</v>
      </c>
      <c r="F514" s="571">
        <f>F513</f>
        <v>3839014.02</v>
      </c>
      <c r="G514" s="559">
        <f>F514/E514*100</f>
        <v>100</v>
      </c>
      <c r="H514" s="496">
        <v>1</v>
      </c>
      <c r="I514" s="850" t="s">
        <v>531</v>
      </c>
      <c r="J514" s="851"/>
      <c r="K514" s="851"/>
      <c r="L514" s="851"/>
      <c r="M514" s="499">
        <v>100</v>
      </c>
      <c r="N514" s="583">
        <v>1</v>
      </c>
      <c r="O514" s="911"/>
      <c r="P514" s="388"/>
      <c r="Q514" s="388"/>
      <c r="R514" s="388"/>
      <c r="S514" s="388"/>
      <c r="T514" s="388"/>
      <c r="U514" s="388"/>
      <c r="V514" s="388"/>
      <c r="W514" s="388"/>
      <c r="X514" s="388"/>
      <c r="Y514" s="388"/>
      <c r="Z514" s="388"/>
      <c r="AA514" s="388"/>
      <c r="AB514" s="238"/>
      <c r="AC514" s="238"/>
      <c r="AD514" s="238"/>
      <c r="AE514" s="238"/>
      <c r="AF514" s="238"/>
      <c r="AG514" s="238"/>
      <c r="AH514" s="238"/>
      <c r="AI514" s="238"/>
      <c r="AJ514" s="238"/>
      <c r="AK514" s="238"/>
      <c r="AL514" s="238"/>
      <c r="AM514" s="238"/>
      <c r="AN514" s="238"/>
      <c r="AO514" s="238"/>
      <c r="AP514" s="238"/>
      <c r="AQ514" s="238"/>
      <c r="AR514" s="238"/>
      <c r="AS514" s="238"/>
      <c r="AT514" s="238"/>
      <c r="AU514" s="238"/>
      <c r="AV514" s="238"/>
      <c r="AW514" s="238"/>
      <c r="AX514" s="238"/>
      <c r="AY514" s="238"/>
      <c r="AZ514" s="238"/>
      <c r="BA514" s="238"/>
      <c r="BB514" s="238"/>
      <c r="BC514" s="238"/>
      <c r="BD514" s="238"/>
      <c r="BE514" s="238"/>
      <c r="BF514" s="238"/>
      <c r="BG514" s="238"/>
      <c r="BH514" s="238"/>
      <c r="BI514" s="238"/>
      <c r="BJ514" s="238"/>
      <c r="BK514" s="238"/>
      <c r="BL514" s="238"/>
      <c r="BM514" s="238"/>
      <c r="BN514" s="238"/>
      <c r="BO514" s="238"/>
      <c r="BP514" s="238"/>
      <c r="BQ514" s="238"/>
      <c r="BR514" s="238"/>
      <c r="BS514" s="238"/>
      <c r="BT514" s="238"/>
      <c r="BU514" s="238"/>
      <c r="BV514" s="238"/>
      <c r="BW514" s="238"/>
      <c r="BX514" s="238"/>
      <c r="BY514" s="238"/>
      <c r="BZ514" s="238"/>
      <c r="CA514" s="238"/>
      <c r="CB514" s="238"/>
      <c r="CC514" s="238"/>
      <c r="CD514" s="238"/>
      <c r="CE514" s="238"/>
      <c r="CF514" s="238"/>
      <c r="CG514" s="238"/>
      <c r="CH514" s="238"/>
      <c r="CI514" s="238"/>
      <c r="CJ514" s="238"/>
      <c r="CK514" s="238"/>
      <c r="CL514" s="238"/>
      <c r="CM514" s="238"/>
      <c r="CN514" s="238"/>
      <c r="CO514" s="238"/>
      <c r="CP514" s="238"/>
      <c r="CQ514" s="238"/>
      <c r="CR514" s="238"/>
      <c r="CS514" s="238"/>
      <c r="CT514" s="238"/>
      <c r="CU514" s="238"/>
      <c r="CV514" s="238"/>
      <c r="CW514" s="238"/>
      <c r="CX514" s="238"/>
      <c r="CY514" s="238"/>
      <c r="CZ514" s="238"/>
      <c r="DA514" s="238"/>
      <c r="DB514" s="238"/>
      <c r="DC514" s="238"/>
      <c r="DD514" s="238"/>
      <c r="DE514" s="238"/>
      <c r="DF514" s="238"/>
      <c r="DG514" s="238"/>
      <c r="DH514" s="238"/>
      <c r="DI514" s="238"/>
      <c r="DJ514" s="238"/>
      <c r="DK514" s="238"/>
      <c r="DL514" s="238"/>
      <c r="DM514" s="238"/>
      <c r="DN514" s="238"/>
      <c r="DO514" s="238"/>
      <c r="DP514" s="238"/>
      <c r="DQ514" s="238"/>
      <c r="DR514" s="238"/>
      <c r="DS514" s="238"/>
      <c r="DT514" s="238"/>
      <c r="DU514" s="238"/>
      <c r="DV514" s="238"/>
      <c r="DW514" s="238"/>
      <c r="DX514" s="238"/>
      <c r="DY514" s="238"/>
      <c r="DZ514" s="238"/>
      <c r="EA514" s="238"/>
      <c r="EB514" s="238"/>
      <c r="EC514" s="238"/>
      <c r="ED514" s="238"/>
      <c r="EE514" s="238"/>
      <c r="EF514" s="238"/>
      <c r="EG514" s="238"/>
      <c r="EH514" s="238"/>
      <c r="EI514" s="238"/>
      <c r="EJ514" s="238"/>
      <c r="EK514" s="238"/>
      <c r="EL514" s="238"/>
      <c r="EM514" s="238"/>
      <c r="EN514" s="238"/>
    </row>
    <row r="515" spans="1:144" s="65" customFormat="1" ht="18" customHeight="1">
      <c r="B515" s="133"/>
      <c r="C515" s="162" t="s">
        <v>516</v>
      </c>
      <c r="D515" s="500" t="s">
        <v>520</v>
      </c>
      <c r="E515" s="522">
        <v>0</v>
      </c>
      <c r="F515" s="522">
        <v>0</v>
      </c>
      <c r="G515" s="399"/>
      <c r="H515" s="437"/>
      <c r="I515" s="134"/>
      <c r="J515" s="134"/>
      <c r="K515" s="134"/>
      <c r="L515" s="134"/>
      <c r="M515" s="110"/>
      <c r="N515" s="551"/>
      <c r="O515" s="28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</row>
    <row r="516" spans="1:144" s="65" customFormat="1" ht="23.25" customHeight="1">
      <c r="B516" s="133"/>
      <c r="C516" s="162" t="s">
        <v>517</v>
      </c>
      <c r="D516" s="500" t="s">
        <v>329</v>
      </c>
      <c r="E516" s="716">
        <f>3800000</f>
        <v>3800000</v>
      </c>
      <c r="F516" s="716">
        <f>3800000</f>
        <v>3800000</v>
      </c>
      <c r="G516" s="399"/>
      <c r="H516" s="437"/>
      <c r="I516" s="134"/>
      <c r="J516" s="134"/>
      <c r="K516" s="134"/>
      <c r="L516" s="134"/>
      <c r="M516" s="110"/>
      <c r="N516" s="551"/>
      <c r="O516" s="28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</row>
    <row r="517" spans="1:144" s="65" customFormat="1" ht="32.25" customHeight="1">
      <c r="B517" s="133"/>
      <c r="C517" s="162" t="s">
        <v>518</v>
      </c>
      <c r="D517" s="500" t="s">
        <v>521</v>
      </c>
      <c r="E517" s="716">
        <f>39014.02</f>
        <v>39014.019999999997</v>
      </c>
      <c r="F517" s="716">
        <f>39014.02</f>
        <v>39014.019999999997</v>
      </c>
      <c r="G517" s="399"/>
      <c r="H517" s="437"/>
      <c r="I517" s="134"/>
      <c r="J517" s="134"/>
      <c r="K517" s="134"/>
      <c r="L517" s="134"/>
      <c r="M517" s="110"/>
      <c r="N517" s="551"/>
      <c r="O517" s="28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</row>
    <row r="518" spans="1:144" s="65" customFormat="1" ht="24" customHeight="1">
      <c r="B518" s="133"/>
      <c r="C518" s="162" t="s">
        <v>519</v>
      </c>
      <c r="D518" s="500" t="s">
        <v>510</v>
      </c>
      <c r="E518" s="522">
        <v>0</v>
      </c>
      <c r="F518" s="522">
        <v>0</v>
      </c>
      <c r="G518" s="399"/>
      <c r="H518" s="437"/>
      <c r="I518" s="134"/>
      <c r="J518" s="134"/>
      <c r="K518" s="134"/>
      <c r="L518" s="134"/>
      <c r="M518" s="110"/>
      <c r="N518" s="551"/>
      <c r="O518" s="28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72"/>
      <c r="AQ518" s="72"/>
      <c r="AR518" s="72"/>
      <c r="AS518" s="72"/>
      <c r="AT518" s="72"/>
      <c r="AU518" s="72"/>
      <c r="AV518" s="72"/>
      <c r="AW518" s="72"/>
      <c r="AX518" s="72"/>
      <c r="AY518" s="72"/>
      <c r="AZ518" s="72"/>
      <c r="BA518" s="72"/>
      <c r="BB518" s="72"/>
      <c r="BC518" s="72"/>
      <c r="BD518" s="72"/>
      <c r="BE518" s="72"/>
      <c r="BF518" s="72"/>
      <c r="BG518" s="72"/>
      <c r="BH518" s="72"/>
      <c r="BI518" s="72"/>
      <c r="BJ518" s="72"/>
      <c r="BK518" s="72"/>
      <c r="BL518" s="72"/>
      <c r="BM518" s="72"/>
      <c r="BN518" s="72"/>
      <c r="BO518" s="72"/>
      <c r="BP518" s="72"/>
      <c r="BQ518" s="72"/>
      <c r="BR518" s="72"/>
      <c r="BS518" s="72"/>
      <c r="BT518" s="72"/>
      <c r="BU518" s="72"/>
      <c r="BV518" s="72"/>
      <c r="BW518" s="72"/>
      <c r="BX518" s="72"/>
      <c r="BY518" s="72"/>
      <c r="BZ518" s="72"/>
      <c r="CA518" s="72"/>
      <c r="CB518" s="72"/>
      <c r="CC518" s="72"/>
      <c r="CD518" s="72"/>
      <c r="CE518" s="72"/>
      <c r="CF518" s="72"/>
      <c r="CG518" s="72"/>
      <c r="CH518" s="72"/>
      <c r="CI518" s="72"/>
      <c r="CJ518" s="72"/>
      <c r="CK518" s="72"/>
      <c r="CL518" s="72"/>
      <c r="CM518" s="72"/>
      <c r="CN518" s="72"/>
      <c r="CO518" s="72"/>
      <c r="CP518" s="72"/>
      <c r="CQ518" s="72"/>
      <c r="CR518" s="72"/>
      <c r="CS518" s="72"/>
      <c r="CT518" s="72"/>
      <c r="CU518" s="72"/>
      <c r="CV518" s="72"/>
      <c r="CW518" s="72"/>
      <c r="CX518" s="72"/>
      <c r="CY518" s="72"/>
      <c r="CZ518" s="72"/>
      <c r="DA518" s="72"/>
      <c r="DB518" s="72"/>
      <c r="DC518" s="72"/>
      <c r="DD518" s="72"/>
      <c r="DE518" s="72"/>
      <c r="DF518" s="72"/>
      <c r="DG518" s="72"/>
      <c r="DH518" s="72"/>
      <c r="DI518" s="72"/>
      <c r="DJ518" s="72"/>
      <c r="DK518" s="72"/>
      <c r="DL518" s="72"/>
      <c r="DM518" s="72"/>
      <c r="DN518" s="72"/>
      <c r="DO518" s="72"/>
      <c r="DP518" s="72"/>
      <c r="DQ518" s="72"/>
      <c r="DR518" s="72"/>
      <c r="DS518" s="72"/>
      <c r="DT518" s="72"/>
      <c r="DU518" s="72"/>
      <c r="DV518" s="72"/>
      <c r="DW518" s="72"/>
      <c r="DX518" s="72"/>
      <c r="DY518" s="72"/>
      <c r="DZ518" s="72"/>
      <c r="EA518" s="72"/>
      <c r="EB518" s="72"/>
      <c r="EC518" s="72"/>
      <c r="ED518" s="72"/>
      <c r="EE518" s="72"/>
      <c r="EF518" s="72"/>
      <c r="EG518" s="72"/>
      <c r="EH518" s="72"/>
      <c r="EI518" s="72"/>
      <c r="EJ518" s="72"/>
      <c r="EK518" s="72"/>
      <c r="EL518" s="72"/>
      <c r="EM518" s="72"/>
      <c r="EN518" s="72"/>
    </row>
    <row r="519" spans="1:144" s="65" customFormat="1" ht="24" customHeight="1">
      <c r="B519" s="749" t="s">
        <v>780</v>
      </c>
      <c r="C519" s="831" t="s">
        <v>781</v>
      </c>
      <c r="D519" s="905"/>
      <c r="E519" s="905"/>
      <c r="F519" s="905"/>
      <c r="G519" s="905"/>
      <c r="H519" s="905"/>
      <c r="I519" s="905"/>
      <c r="J519" s="905"/>
      <c r="K519" s="905"/>
      <c r="L519" s="905"/>
      <c r="M519" s="905"/>
      <c r="N519" s="905"/>
      <c r="O519" s="28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72"/>
      <c r="AQ519" s="72"/>
      <c r="AR519" s="72"/>
      <c r="AS519" s="72"/>
      <c r="AT519" s="72"/>
      <c r="AU519" s="72"/>
      <c r="AV519" s="72"/>
      <c r="AW519" s="72"/>
      <c r="AX519" s="72"/>
      <c r="AY519" s="72"/>
      <c r="AZ519" s="72"/>
      <c r="BA519" s="72"/>
      <c r="BB519" s="72"/>
      <c r="BC519" s="72"/>
      <c r="BD519" s="72"/>
      <c r="BE519" s="72"/>
      <c r="BF519" s="72"/>
      <c r="BG519" s="72"/>
      <c r="BH519" s="72"/>
      <c r="BI519" s="72"/>
      <c r="BJ519" s="72"/>
      <c r="BK519" s="72"/>
      <c r="BL519" s="72"/>
      <c r="BM519" s="72"/>
      <c r="BN519" s="72"/>
      <c r="BO519" s="72"/>
      <c r="BP519" s="72"/>
      <c r="BQ519" s="72"/>
      <c r="BR519" s="72"/>
      <c r="BS519" s="72"/>
      <c r="BT519" s="72"/>
      <c r="BU519" s="72"/>
      <c r="BV519" s="72"/>
      <c r="BW519" s="72"/>
      <c r="BX519" s="72"/>
      <c r="BY519" s="72"/>
      <c r="BZ519" s="72"/>
      <c r="CA519" s="72"/>
      <c r="CB519" s="72"/>
      <c r="CC519" s="72"/>
      <c r="CD519" s="72"/>
      <c r="CE519" s="72"/>
      <c r="CF519" s="72"/>
      <c r="CG519" s="72"/>
      <c r="CH519" s="72"/>
      <c r="CI519" s="72"/>
      <c r="CJ519" s="72"/>
      <c r="CK519" s="72"/>
      <c r="CL519" s="72"/>
      <c r="CM519" s="72"/>
      <c r="CN519" s="72"/>
      <c r="CO519" s="72"/>
      <c r="CP519" s="72"/>
      <c r="CQ519" s="72"/>
      <c r="CR519" s="72"/>
      <c r="CS519" s="72"/>
      <c r="CT519" s="72"/>
      <c r="CU519" s="72"/>
      <c r="CV519" s="72"/>
      <c r="CW519" s="72"/>
      <c r="CX519" s="72"/>
      <c r="CY519" s="72"/>
      <c r="CZ519" s="72"/>
      <c r="DA519" s="72"/>
      <c r="DB519" s="72"/>
      <c r="DC519" s="72"/>
      <c r="DD519" s="72"/>
      <c r="DE519" s="72"/>
      <c r="DF519" s="72"/>
      <c r="DG519" s="72"/>
      <c r="DH519" s="72"/>
      <c r="DI519" s="72"/>
      <c r="DJ519" s="72"/>
      <c r="DK519" s="72"/>
      <c r="DL519" s="72"/>
      <c r="DM519" s="72"/>
      <c r="DN519" s="72"/>
      <c r="DO519" s="72"/>
      <c r="DP519" s="72"/>
      <c r="DQ519" s="72"/>
      <c r="DR519" s="72"/>
      <c r="DS519" s="72"/>
      <c r="DT519" s="72"/>
      <c r="DU519" s="72"/>
      <c r="DV519" s="72"/>
      <c r="DW519" s="72"/>
      <c r="DX519" s="72"/>
      <c r="DY519" s="72"/>
      <c r="DZ519" s="72"/>
      <c r="EA519" s="72"/>
      <c r="EB519" s="72"/>
      <c r="EC519" s="72"/>
      <c r="ED519" s="72"/>
      <c r="EE519" s="72"/>
      <c r="EF519" s="72"/>
      <c r="EG519" s="72"/>
      <c r="EH519" s="72"/>
      <c r="EI519" s="72"/>
      <c r="EJ519" s="72"/>
      <c r="EK519" s="72"/>
      <c r="EL519" s="72"/>
      <c r="EM519" s="72"/>
      <c r="EN519" s="72"/>
    </row>
    <row r="520" spans="1:144" s="65" customFormat="1" ht="129.75" customHeight="1">
      <c r="B520" s="500" t="s">
        <v>782</v>
      </c>
      <c r="C520" s="750" t="s">
        <v>783</v>
      </c>
      <c r="D520" s="500"/>
      <c r="E520" s="728">
        <v>22329688.440000001</v>
      </c>
      <c r="F520" s="728">
        <v>22329649</v>
      </c>
      <c r="G520" s="399">
        <f>F520/E520*100</f>
        <v>99.999823374158993</v>
      </c>
      <c r="H520" s="399">
        <f>G520/100</f>
        <v>0.99999823374158991</v>
      </c>
      <c r="I520" s="750" t="s">
        <v>799</v>
      </c>
      <c r="J520" s="756" t="s">
        <v>164</v>
      </c>
      <c r="K520" s="750">
        <v>16</v>
      </c>
      <c r="L520" s="750">
        <v>16</v>
      </c>
      <c r="M520" s="750">
        <f>L520/K520*100</f>
        <v>100</v>
      </c>
      <c r="N520" s="914">
        <f>M520/100</f>
        <v>1</v>
      </c>
      <c r="O520" s="28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72"/>
      <c r="AQ520" s="72"/>
      <c r="AR520" s="72"/>
      <c r="AS520" s="72"/>
      <c r="AT520" s="72"/>
      <c r="AU520" s="72"/>
      <c r="AV520" s="72"/>
      <c r="AW520" s="72"/>
      <c r="AX520" s="72"/>
      <c r="AY520" s="72"/>
      <c r="AZ520" s="72"/>
      <c r="BA520" s="72"/>
      <c r="BB520" s="72"/>
      <c r="BC520" s="72"/>
      <c r="BD520" s="72"/>
      <c r="BE520" s="72"/>
      <c r="BF520" s="72"/>
      <c r="BG520" s="72"/>
      <c r="BH520" s="72"/>
      <c r="BI520" s="72"/>
      <c r="BJ520" s="72"/>
      <c r="BK520" s="72"/>
      <c r="BL520" s="72"/>
      <c r="BM520" s="72"/>
      <c r="BN520" s="72"/>
      <c r="BO520" s="72"/>
      <c r="BP520" s="72"/>
      <c r="BQ520" s="72"/>
      <c r="BR520" s="72"/>
      <c r="BS520" s="72"/>
      <c r="BT520" s="72"/>
      <c r="BU520" s="72"/>
      <c r="BV520" s="72"/>
      <c r="BW520" s="72"/>
      <c r="BX520" s="72"/>
      <c r="BY520" s="72"/>
      <c r="BZ520" s="72"/>
      <c r="CA520" s="72"/>
      <c r="CB520" s="72"/>
      <c r="CC520" s="72"/>
      <c r="CD520" s="72"/>
      <c r="CE520" s="72"/>
      <c r="CF520" s="72"/>
      <c r="CG520" s="72"/>
      <c r="CH520" s="72"/>
      <c r="CI520" s="72"/>
      <c r="CJ520" s="72"/>
      <c r="CK520" s="72"/>
      <c r="CL520" s="72"/>
      <c r="CM520" s="72"/>
      <c r="CN520" s="72"/>
      <c r="CO520" s="72"/>
      <c r="CP520" s="72"/>
      <c r="CQ520" s="72"/>
      <c r="CR520" s="72"/>
      <c r="CS520" s="72"/>
      <c r="CT520" s="72"/>
      <c r="CU520" s="72"/>
      <c r="CV520" s="72"/>
      <c r="CW520" s="72"/>
      <c r="CX520" s="72"/>
      <c r="CY520" s="72"/>
      <c r="CZ520" s="72"/>
      <c r="DA520" s="72"/>
      <c r="DB520" s="72"/>
      <c r="DC520" s="72"/>
      <c r="DD520" s="72"/>
      <c r="DE520" s="72"/>
      <c r="DF520" s="72"/>
      <c r="DG520" s="72"/>
      <c r="DH520" s="72"/>
      <c r="DI520" s="72"/>
      <c r="DJ520" s="72"/>
      <c r="DK520" s="72"/>
      <c r="DL520" s="72"/>
      <c r="DM520" s="72"/>
      <c r="DN520" s="72"/>
      <c r="DO520" s="72"/>
      <c r="DP520" s="72"/>
      <c r="DQ520" s="72"/>
      <c r="DR520" s="72"/>
      <c r="DS520" s="72"/>
      <c r="DT520" s="72"/>
      <c r="DU520" s="72"/>
      <c r="DV520" s="72"/>
      <c r="DW520" s="72"/>
      <c r="DX520" s="72"/>
      <c r="DY520" s="72"/>
      <c r="DZ520" s="72"/>
      <c r="EA520" s="72"/>
      <c r="EB520" s="72"/>
      <c r="EC520" s="72"/>
      <c r="ED520" s="72"/>
      <c r="EE520" s="72"/>
      <c r="EF520" s="72"/>
      <c r="EG520" s="72"/>
      <c r="EH520" s="72"/>
      <c r="EI520" s="72"/>
      <c r="EJ520" s="72"/>
      <c r="EK520" s="72"/>
      <c r="EL520" s="72"/>
      <c r="EM520" s="72"/>
      <c r="EN520" s="72"/>
    </row>
    <row r="521" spans="1:144" s="65" customFormat="1" ht="37.5" customHeight="1">
      <c r="B521" s="488"/>
      <c r="C521" s="582" t="s">
        <v>566</v>
      </c>
      <c r="D521" s="488"/>
      <c r="E521" s="571">
        <f>E520</f>
        <v>22329688.440000001</v>
      </c>
      <c r="F521" s="571">
        <f>F520</f>
        <v>22329649</v>
      </c>
      <c r="G521" s="559">
        <f>F521/E521*100</f>
        <v>99.999823374158993</v>
      </c>
      <c r="H521" s="496">
        <v>1</v>
      </c>
      <c r="I521" s="850" t="s">
        <v>807</v>
      </c>
      <c r="J521" s="851"/>
      <c r="K521" s="851"/>
      <c r="L521" s="851"/>
      <c r="M521" s="499">
        <v>100</v>
      </c>
      <c r="N521" s="583">
        <v>1</v>
      </c>
      <c r="O521" s="28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72"/>
      <c r="AQ521" s="72"/>
      <c r="AR521" s="72"/>
      <c r="AS521" s="72"/>
      <c r="AT521" s="72"/>
      <c r="AU521" s="72"/>
      <c r="AV521" s="72"/>
      <c r="AW521" s="72"/>
      <c r="AX521" s="72"/>
      <c r="AY521" s="72"/>
      <c r="AZ521" s="72"/>
      <c r="BA521" s="72"/>
      <c r="BB521" s="72"/>
      <c r="BC521" s="72"/>
      <c r="BD521" s="72"/>
      <c r="BE521" s="72"/>
      <c r="BF521" s="72"/>
      <c r="BG521" s="72"/>
      <c r="BH521" s="72"/>
      <c r="BI521" s="72"/>
      <c r="BJ521" s="72"/>
      <c r="BK521" s="72"/>
      <c r="BL521" s="72"/>
      <c r="BM521" s="72"/>
      <c r="BN521" s="72"/>
      <c r="BO521" s="72"/>
      <c r="BP521" s="72"/>
      <c r="BQ521" s="72"/>
      <c r="BR521" s="72"/>
      <c r="BS521" s="72"/>
      <c r="BT521" s="72"/>
      <c r="BU521" s="72"/>
      <c r="BV521" s="72"/>
      <c r="BW521" s="72"/>
      <c r="BX521" s="72"/>
      <c r="BY521" s="72"/>
      <c r="BZ521" s="72"/>
      <c r="CA521" s="72"/>
      <c r="CB521" s="72"/>
      <c r="CC521" s="72"/>
      <c r="CD521" s="72"/>
      <c r="CE521" s="72"/>
      <c r="CF521" s="72"/>
      <c r="CG521" s="72"/>
      <c r="CH521" s="72"/>
      <c r="CI521" s="72"/>
      <c r="CJ521" s="72"/>
      <c r="CK521" s="72"/>
      <c r="CL521" s="72"/>
      <c r="CM521" s="72"/>
      <c r="CN521" s="72"/>
      <c r="CO521" s="72"/>
      <c r="CP521" s="72"/>
      <c r="CQ521" s="72"/>
      <c r="CR521" s="72"/>
      <c r="CS521" s="72"/>
      <c r="CT521" s="72"/>
      <c r="CU521" s="72"/>
      <c r="CV521" s="72"/>
      <c r="CW521" s="72"/>
      <c r="CX521" s="72"/>
      <c r="CY521" s="72"/>
      <c r="CZ521" s="72"/>
      <c r="DA521" s="72"/>
      <c r="DB521" s="72"/>
      <c r="DC521" s="72"/>
      <c r="DD521" s="72"/>
      <c r="DE521" s="72"/>
      <c r="DF521" s="72"/>
      <c r="DG521" s="72"/>
      <c r="DH521" s="72"/>
      <c r="DI521" s="72"/>
      <c r="DJ521" s="72"/>
      <c r="DK521" s="72"/>
      <c r="DL521" s="72"/>
      <c r="DM521" s="72"/>
      <c r="DN521" s="72"/>
      <c r="DO521" s="72"/>
      <c r="DP521" s="72"/>
      <c r="DQ521" s="72"/>
      <c r="DR521" s="72"/>
      <c r="DS521" s="72"/>
      <c r="DT521" s="72"/>
      <c r="DU521" s="72"/>
      <c r="DV521" s="72"/>
      <c r="DW521" s="72"/>
      <c r="DX521" s="72"/>
      <c r="DY521" s="72"/>
      <c r="DZ521" s="72"/>
      <c r="EA521" s="72"/>
      <c r="EB521" s="72"/>
      <c r="EC521" s="72"/>
      <c r="ED521" s="72"/>
      <c r="EE521" s="72"/>
      <c r="EF521" s="72"/>
      <c r="EG521" s="72"/>
      <c r="EH521" s="72"/>
      <c r="EI521" s="72"/>
      <c r="EJ521" s="72"/>
      <c r="EK521" s="72"/>
      <c r="EL521" s="72"/>
      <c r="EM521" s="72"/>
      <c r="EN521" s="72"/>
    </row>
    <row r="522" spans="1:144" s="65" customFormat="1" ht="24" customHeight="1">
      <c r="B522" s="133"/>
      <c r="C522" s="162" t="s">
        <v>516</v>
      </c>
      <c r="D522" s="500"/>
      <c r="E522" s="522">
        <v>15698280</v>
      </c>
      <c r="F522" s="522">
        <v>15698280</v>
      </c>
      <c r="G522" s="399"/>
      <c r="H522" s="437"/>
      <c r="I522" s="134"/>
      <c r="J522" s="134"/>
      <c r="K522" s="134"/>
      <c r="L522" s="134"/>
      <c r="M522" s="110"/>
      <c r="N522" s="915"/>
      <c r="O522" s="28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72"/>
      <c r="AQ522" s="72"/>
      <c r="AR522" s="72"/>
      <c r="AS522" s="72"/>
      <c r="AT522" s="72"/>
      <c r="AU522" s="72"/>
      <c r="AV522" s="72"/>
      <c r="AW522" s="72"/>
      <c r="AX522" s="72"/>
      <c r="AY522" s="72"/>
      <c r="AZ522" s="72"/>
      <c r="BA522" s="72"/>
      <c r="BB522" s="72"/>
      <c r="BC522" s="72"/>
      <c r="BD522" s="72"/>
      <c r="BE522" s="72"/>
      <c r="BF522" s="72"/>
      <c r="BG522" s="72"/>
      <c r="BH522" s="72"/>
      <c r="BI522" s="72"/>
      <c r="BJ522" s="72"/>
      <c r="BK522" s="72"/>
      <c r="BL522" s="72"/>
      <c r="BM522" s="72"/>
      <c r="BN522" s="72"/>
      <c r="BO522" s="72"/>
      <c r="BP522" s="72"/>
      <c r="BQ522" s="72"/>
      <c r="BR522" s="72"/>
      <c r="BS522" s="72"/>
      <c r="BT522" s="72"/>
      <c r="BU522" s="72"/>
      <c r="BV522" s="72"/>
      <c r="BW522" s="72"/>
      <c r="BX522" s="72"/>
      <c r="BY522" s="72"/>
      <c r="BZ522" s="72"/>
      <c r="CA522" s="72"/>
      <c r="CB522" s="72"/>
      <c r="CC522" s="72"/>
      <c r="CD522" s="72"/>
      <c r="CE522" s="72"/>
      <c r="CF522" s="72"/>
      <c r="CG522" s="72"/>
      <c r="CH522" s="72"/>
      <c r="CI522" s="72"/>
      <c r="CJ522" s="72"/>
      <c r="CK522" s="72"/>
      <c r="CL522" s="72"/>
      <c r="CM522" s="72"/>
      <c r="CN522" s="72"/>
      <c r="CO522" s="72"/>
      <c r="CP522" s="72"/>
      <c r="CQ522" s="72"/>
      <c r="CR522" s="72"/>
      <c r="CS522" s="72"/>
      <c r="CT522" s="72"/>
      <c r="CU522" s="72"/>
      <c r="CV522" s="72"/>
      <c r="CW522" s="72"/>
      <c r="CX522" s="72"/>
      <c r="CY522" s="72"/>
      <c r="CZ522" s="72"/>
      <c r="DA522" s="72"/>
      <c r="DB522" s="72"/>
      <c r="DC522" s="72"/>
      <c r="DD522" s="72"/>
      <c r="DE522" s="72"/>
      <c r="DF522" s="72"/>
      <c r="DG522" s="72"/>
      <c r="DH522" s="72"/>
      <c r="DI522" s="72"/>
      <c r="DJ522" s="72"/>
      <c r="DK522" s="72"/>
      <c r="DL522" s="72"/>
      <c r="DM522" s="72"/>
      <c r="DN522" s="72"/>
      <c r="DO522" s="72"/>
      <c r="DP522" s="72"/>
      <c r="DQ522" s="72"/>
      <c r="DR522" s="72"/>
      <c r="DS522" s="72"/>
      <c r="DT522" s="72"/>
      <c r="DU522" s="72"/>
      <c r="DV522" s="72"/>
      <c r="DW522" s="72"/>
      <c r="DX522" s="72"/>
      <c r="DY522" s="72"/>
      <c r="DZ522" s="72"/>
      <c r="EA522" s="72"/>
      <c r="EB522" s="72"/>
      <c r="EC522" s="72"/>
      <c r="ED522" s="72"/>
      <c r="EE522" s="72"/>
      <c r="EF522" s="72"/>
      <c r="EG522" s="72"/>
      <c r="EH522" s="72"/>
      <c r="EI522" s="72"/>
      <c r="EJ522" s="72"/>
      <c r="EK522" s="72"/>
      <c r="EL522" s="72"/>
      <c r="EM522" s="72"/>
      <c r="EN522" s="72"/>
    </row>
    <row r="523" spans="1:144" s="65" customFormat="1" ht="24" customHeight="1">
      <c r="B523" s="133"/>
      <c r="C523" s="162" t="s">
        <v>517</v>
      </c>
      <c r="D523" s="500"/>
      <c r="E523" s="522">
        <v>6411980</v>
      </c>
      <c r="F523" s="522">
        <v>6411980</v>
      </c>
      <c r="G523" s="399"/>
      <c r="H523" s="437"/>
      <c r="I523" s="134"/>
      <c r="J523" s="134"/>
      <c r="K523" s="134"/>
      <c r="L523" s="134"/>
      <c r="M523" s="110"/>
      <c r="N523" s="915"/>
      <c r="O523" s="28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72"/>
      <c r="AQ523" s="72"/>
      <c r="AR523" s="72"/>
      <c r="AS523" s="72"/>
      <c r="AT523" s="72"/>
      <c r="AU523" s="72"/>
      <c r="AV523" s="72"/>
      <c r="AW523" s="72"/>
      <c r="AX523" s="72"/>
      <c r="AY523" s="72"/>
      <c r="AZ523" s="72"/>
      <c r="BA523" s="72"/>
      <c r="BB523" s="72"/>
      <c r="BC523" s="72"/>
      <c r="BD523" s="72"/>
      <c r="BE523" s="72"/>
      <c r="BF523" s="72"/>
      <c r="BG523" s="72"/>
      <c r="BH523" s="72"/>
      <c r="BI523" s="72"/>
      <c r="BJ523" s="72"/>
      <c r="BK523" s="72"/>
      <c r="BL523" s="72"/>
      <c r="BM523" s="72"/>
      <c r="BN523" s="72"/>
      <c r="BO523" s="72"/>
      <c r="BP523" s="72"/>
      <c r="BQ523" s="72"/>
      <c r="BR523" s="72"/>
      <c r="BS523" s="72"/>
      <c r="BT523" s="72"/>
      <c r="BU523" s="72"/>
      <c r="BV523" s="72"/>
      <c r="BW523" s="72"/>
      <c r="BX523" s="72"/>
      <c r="BY523" s="72"/>
      <c r="BZ523" s="72"/>
      <c r="CA523" s="72"/>
      <c r="CB523" s="72"/>
      <c r="CC523" s="72"/>
      <c r="CD523" s="72"/>
      <c r="CE523" s="72"/>
      <c r="CF523" s="72"/>
      <c r="CG523" s="72"/>
      <c r="CH523" s="72"/>
      <c r="CI523" s="72"/>
      <c r="CJ523" s="72"/>
      <c r="CK523" s="72"/>
      <c r="CL523" s="72"/>
      <c r="CM523" s="72"/>
      <c r="CN523" s="72"/>
      <c r="CO523" s="72"/>
      <c r="CP523" s="72"/>
      <c r="CQ523" s="72"/>
      <c r="CR523" s="72"/>
      <c r="CS523" s="72"/>
      <c r="CT523" s="72"/>
      <c r="CU523" s="72"/>
      <c r="CV523" s="72"/>
      <c r="CW523" s="72"/>
      <c r="CX523" s="72"/>
      <c r="CY523" s="72"/>
      <c r="CZ523" s="72"/>
      <c r="DA523" s="72"/>
      <c r="DB523" s="72"/>
      <c r="DC523" s="72"/>
      <c r="DD523" s="72"/>
      <c r="DE523" s="72"/>
      <c r="DF523" s="72"/>
      <c r="DG523" s="72"/>
      <c r="DH523" s="72"/>
      <c r="DI523" s="72"/>
      <c r="DJ523" s="72"/>
      <c r="DK523" s="72"/>
      <c r="DL523" s="72"/>
      <c r="DM523" s="72"/>
      <c r="DN523" s="72"/>
      <c r="DO523" s="72"/>
      <c r="DP523" s="72"/>
      <c r="DQ523" s="72"/>
      <c r="DR523" s="72"/>
      <c r="DS523" s="72"/>
      <c r="DT523" s="72"/>
      <c r="DU523" s="72"/>
      <c r="DV523" s="72"/>
      <c r="DW523" s="72"/>
      <c r="DX523" s="72"/>
      <c r="DY523" s="72"/>
      <c r="DZ523" s="72"/>
      <c r="EA523" s="72"/>
      <c r="EB523" s="72"/>
      <c r="EC523" s="72"/>
      <c r="ED523" s="72"/>
      <c r="EE523" s="72"/>
      <c r="EF523" s="72"/>
      <c r="EG523" s="72"/>
      <c r="EH523" s="72"/>
      <c r="EI523" s="72"/>
      <c r="EJ523" s="72"/>
      <c r="EK523" s="72"/>
      <c r="EL523" s="72"/>
      <c r="EM523" s="72"/>
      <c r="EN523" s="72"/>
    </row>
    <row r="524" spans="1:144" s="65" customFormat="1" ht="24" customHeight="1">
      <c r="B524" s="133"/>
      <c r="C524" s="162" t="s">
        <v>518</v>
      </c>
      <c r="D524" s="500"/>
      <c r="E524" s="522">
        <v>223340</v>
      </c>
      <c r="F524" s="522">
        <v>223340</v>
      </c>
      <c r="G524" s="399"/>
      <c r="H524" s="437"/>
      <c r="I524" s="134"/>
      <c r="J524" s="134"/>
      <c r="K524" s="134"/>
      <c r="L524" s="134"/>
      <c r="M524" s="110"/>
      <c r="N524" s="915"/>
      <c r="O524" s="28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72"/>
      <c r="AQ524" s="72"/>
      <c r="AR524" s="72"/>
      <c r="AS524" s="72"/>
      <c r="AT524" s="72"/>
      <c r="AU524" s="72"/>
      <c r="AV524" s="72"/>
      <c r="AW524" s="72"/>
      <c r="AX524" s="72"/>
      <c r="AY524" s="72"/>
      <c r="AZ524" s="72"/>
      <c r="BA524" s="72"/>
      <c r="BB524" s="72"/>
      <c r="BC524" s="72"/>
      <c r="BD524" s="72"/>
      <c r="BE524" s="72"/>
      <c r="BF524" s="72"/>
      <c r="BG524" s="72"/>
      <c r="BH524" s="72"/>
      <c r="BI524" s="72"/>
      <c r="BJ524" s="72"/>
      <c r="BK524" s="72"/>
      <c r="BL524" s="72"/>
      <c r="BM524" s="72"/>
      <c r="BN524" s="72"/>
      <c r="BO524" s="72"/>
      <c r="BP524" s="72"/>
      <c r="BQ524" s="72"/>
      <c r="BR524" s="72"/>
      <c r="BS524" s="72"/>
      <c r="BT524" s="72"/>
      <c r="BU524" s="72"/>
      <c r="BV524" s="72"/>
      <c r="BW524" s="72"/>
      <c r="BX524" s="72"/>
      <c r="BY524" s="72"/>
      <c r="BZ524" s="72"/>
      <c r="CA524" s="72"/>
      <c r="CB524" s="72"/>
      <c r="CC524" s="72"/>
      <c r="CD524" s="72"/>
      <c r="CE524" s="72"/>
      <c r="CF524" s="72"/>
      <c r="CG524" s="72"/>
      <c r="CH524" s="72"/>
      <c r="CI524" s="72"/>
      <c r="CJ524" s="72"/>
      <c r="CK524" s="72"/>
      <c r="CL524" s="72"/>
      <c r="CM524" s="72"/>
      <c r="CN524" s="72"/>
      <c r="CO524" s="72"/>
      <c r="CP524" s="72"/>
      <c r="CQ524" s="72"/>
      <c r="CR524" s="72"/>
      <c r="CS524" s="72"/>
      <c r="CT524" s="72"/>
      <c r="CU524" s="72"/>
      <c r="CV524" s="72"/>
      <c r="CW524" s="72"/>
      <c r="CX524" s="72"/>
      <c r="CY524" s="72"/>
      <c r="CZ524" s="72"/>
      <c r="DA524" s="72"/>
      <c r="DB524" s="72"/>
      <c r="DC524" s="72"/>
      <c r="DD524" s="72"/>
      <c r="DE524" s="72"/>
      <c r="DF524" s="72"/>
      <c r="DG524" s="72"/>
      <c r="DH524" s="72"/>
      <c r="DI524" s="72"/>
      <c r="DJ524" s="72"/>
      <c r="DK524" s="72"/>
      <c r="DL524" s="72"/>
      <c r="DM524" s="72"/>
      <c r="DN524" s="72"/>
      <c r="DO524" s="72"/>
      <c r="DP524" s="72"/>
      <c r="DQ524" s="72"/>
      <c r="DR524" s="72"/>
      <c r="DS524" s="72"/>
      <c r="DT524" s="72"/>
      <c r="DU524" s="72"/>
      <c r="DV524" s="72"/>
      <c r="DW524" s="72"/>
      <c r="DX524" s="72"/>
      <c r="DY524" s="72"/>
      <c r="DZ524" s="72"/>
      <c r="EA524" s="72"/>
      <c r="EB524" s="72"/>
      <c r="EC524" s="72"/>
      <c r="ED524" s="72"/>
      <c r="EE524" s="72"/>
      <c r="EF524" s="72"/>
      <c r="EG524" s="72"/>
      <c r="EH524" s="72"/>
      <c r="EI524" s="72"/>
      <c r="EJ524" s="72"/>
      <c r="EK524" s="72"/>
      <c r="EL524" s="72"/>
      <c r="EM524" s="72"/>
      <c r="EN524" s="72"/>
    </row>
    <row r="525" spans="1:144" s="65" customFormat="1" ht="24" customHeight="1">
      <c r="B525" s="133"/>
      <c r="C525" s="162" t="s">
        <v>519</v>
      </c>
      <c r="D525" s="500"/>
      <c r="E525" s="522"/>
      <c r="F525" s="522"/>
      <c r="G525" s="399"/>
      <c r="H525" s="437"/>
      <c r="I525" s="134"/>
      <c r="J525" s="134"/>
      <c r="K525" s="134"/>
      <c r="L525" s="134"/>
      <c r="M525" s="110"/>
      <c r="N525" s="915"/>
      <c r="O525" s="28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72"/>
      <c r="AQ525" s="72"/>
      <c r="AR525" s="72"/>
      <c r="AS525" s="72"/>
      <c r="AT525" s="72"/>
      <c r="AU525" s="72"/>
      <c r="AV525" s="72"/>
      <c r="AW525" s="72"/>
      <c r="AX525" s="72"/>
      <c r="AY525" s="72"/>
      <c r="AZ525" s="72"/>
      <c r="BA525" s="72"/>
      <c r="BB525" s="72"/>
      <c r="BC525" s="72"/>
      <c r="BD525" s="72"/>
      <c r="BE525" s="72"/>
      <c r="BF525" s="72"/>
      <c r="BG525" s="72"/>
      <c r="BH525" s="72"/>
      <c r="BI525" s="72"/>
      <c r="BJ525" s="72"/>
      <c r="BK525" s="72"/>
      <c r="BL525" s="72"/>
      <c r="BM525" s="72"/>
      <c r="BN525" s="72"/>
      <c r="BO525" s="72"/>
      <c r="BP525" s="72"/>
      <c r="BQ525" s="72"/>
      <c r="BR525" s="72"/>
      <c r="BS525" s="72"/>
      <c r="BT525" s="72"/>
      <c r="BU525" s="72"/>
      <c r="BV525" s="72"/>
      <c r="BW525" s="72"/>
      <c r="BX525" s="72"/>
      <c r="BY525" s="72"/>
      <c r="BZ525" s="72"/>
      <c r="CA525" s="72"/>
      <c r="CB525" s="72"/>
      <c r="CC525" s="72"/>
      <c r="CD525" s="72"/>
      <c r="CE525" s="72"/>
      <c r="CF525" s="72"/>
      <c r="CG525" s="72"/>
      <c r="CH525" s="72"/>
      <c r="CI525" s="72"/>
      <c r="CJ525" s="72"/>
      <c r="CK525" s="72"/>
      <c r="CL525" s="72"/>
      <c r="CM525" s="72"/>
      <c r="CN525" s="72"/>
      <c r="CO525" s="72"/>
      <c r="CP525" s="72"/>
      <c r="CQ525" s="72"/>
      <c r="CR525" s="72"/>
      <c r="CS525" s="72"/>
      <c r="CT525" s="72"/>
      <c r="CU525" s="72"/>
      <c r="CV525" s="72"/>
      <c r="CW525" s="72"/>
      <c r="CX525" s="72"/>
      <c r="CY525" s="72"/>
      <c r="CZ525" s="72"/>
      <c r="DA525" s="72"/>
      <c r="DB525" s="72"/>
      <c r="DC525" s="72"/>
      <c r="DD525" s="72"/>
      <c r="DE525" s="72"/>
      <c r="DF525" s="72"/>
      <c r="DG525" s="72"/>
      <c r="DH525" s="72"/>
      <c r="DI525" s="72"/>
      <c r="DJ525" s="72"/>
      <c r="DK525" s="72"/>
      <c r="DL525" s="72"/>
      <c r="DM525" s="72"/>
      <c r="DN525" s="72"/>
      <c r="DO525" s="72"/>
      <c r="DP525" s="72"/>
      <c r="DQ525" s="72"/>
      <c r="DR525" s="72"/>
      <c r="DS525" s="72"/>
      <c r="DT525" s="72"/>
      <c r="DU525" s="72"/>
      <c r="DV525" s="72"/>
      <c r="DW525" s="72"/>
      <c r="DX525" s="72"/>
      <c r="DY525" s="72"/>
      <c r="DZ525" s="72"/>
      <c r="EA525" s="72"/>
      <c r="EB525" s="72"/>
      <c r="EC525" s="72"/>
      <c r="ED525" s="72"/>
      <c r="EE525" s="72"/>
      <c r="EF525" s="72"/>
      <c r="EG525" s="72"/>
      <c r="EH525" s="72"/>
      <c r="EI525" s="72"/>
      <c r="EJ525" s="72"/>
      <c r="EK525" s="72"/>
      <c r="EL525" s="72"/>
      <c r="EM525" s="72"/>
      <c r="EN525" s="72"/>
    </row>
    <row r="526" spans="1:144" s="65" customFormat="1" ht="30.75" customHeight="1">
      <c r="B526" s="171"/>
      <c r="C526" s="820" t="s">
        <v>800</v>
      </c>
      <c r="D526" s="836"/>
      <c r="E526" s="836"/>
      <c r="F526" s="836"/>
      <c r="G526" s="836"/>
      <c r="H526" s="836"/>
      <c r="I526" s="836"/>
      <c r="J526" s="836"/>
      <c r="K526" s="836"/>
      <c r="L526" s="836"/>
      <c r="M526" s="836"/>
      <c r="N526" s="836"/>
      <c r="O526" s="28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72"/>
      <c r="AQ526" s="72"/>
      <c r="AR526" s="72"/>
      <c r="AS526" s="72"/>
      <c r="AT526" s="72"/>
      <c r="AU526" s="72"/>
      <c r="AV526" s="72"/>
      <c r="AW526" s="72"/>
      <c r="AX526" s="72"/>
      <c r="AY526" s="72"/>
      <c r="AZ526" s="72"/>
      <c r="BA526" s="72"/>
      <c r="BB526" s="72"/>
      <c r="BC526" s="72"/>
      <c r="BD526" s="72"/>
      <c r="BE526" s="72"/>
      <c r="BF526" s="72"/>
      <c r="BG526" s="72"/>
      <c r="BH526" s="72"/>
      <c r="BI526" s="72"/>
      <c r="BJ526" s="72"/>
      <c r="BK526" s="72"/>
      <c r="BL526" s="72"/>
      <c r="BM526" s="72"/>
      <c r="BN526" s="72"/>
      <c r="BO526" s="72"/>
      <c r="BP526" s="72"/>
      <c r="BQ526" s="72"/>
      <c r="BR526" s="72"/>
      <c r="BS526" s="72"/>
      <c r="BT526" s="72"/>
      <c r="BU526" s="72"/>
      <c r="BV526" s="72"/>
      <c r="BW526" s="72"/>
      <c r="BX526" s="72"/>
      <c r="BY526" s="72"/>
      <c r="BZ526" s="72"/>
      <c r="CA526" s="72"/>
      <c r="CB526" s="72"/>
      <c r="CC526" s="72"/>
      <c r="CD526" s="72"/>
      <c r="CE526" s="72"/>
      <c r="CF526" s="72"/>
      <c r="CG526" s="72"/>
      <c r="CH526" s="72"/>
      <c r="CI526" s="72"/>
      <c r="CJ526" s="72"/>
      <c r="CK526" s="72"/>
      <c r="CL526" s="72"/>
      <c r="CM526" s="72"/>
      <c r="CN526" s="72"/>
      <c r="CO526" s="72"/>
      <c r="CP526" s="72"/>
      <c r="CQ526" s="72"/>
      <c r="CR526" s="72"/>
      <c r="CS526" s="72"/>
      <c r="CT526" s="72"/>
      <c r="CU526" s="72"/>
      <c r="CV526" s="72"/>
      <c r="CW526" s="72"/>
      <c r="CX526" s="72"/>
      <c r="CY526" s="72"/>
      <c r="CZ526" s="72"/>
      <c r="DA526" s="72"/>
      <c r="DB526" s="72"/>
      <c r="DC526" s="72"/>
      <c r="DD526" s="72"/>
      <c r="DE526" s="72"/>
      <c r="DF526" s="72"/>
      <c r="DG526" s="72"/>
      <c r="DH526" s="72"/>
      <c r="DI526" s="72"/>
      <c r="DJ526" s="72"/>
      <c r="DK526" s="72"/>
      <c r="DL526" s="72"/>
      <c r="DM526" s="72"/>
      <c r="DN526" s="72"/>
      <c r="DO526" s="72"/>
      <c r="DP526" s="72"/>
      <c r="DQ526" s="72"/>
      <c r="DR526" s="72"/>
      <c r="DS526" s="72"/>
      <c r="DT526" s="72"/>
      <c r="DU526" s="72"/>
      <c r="DV526" s="72"/>
      <c r="DW526" s="72"/>
      <c r="DX526" s="72"/>
      <c r="DY526" s="72"/>
      <c r="DZ526" s="72"/>
      <c r="EA526" s="72"/>
      <c r="EB526" s="72"/>
      <c r="EC526" s="72"/>
      <c r="ED526" s="72"/>
      <c r="EE526" s="72"/>
      <c r="EF526" s="72"/>
      <c r="EG526" s="72"/>
      <c r="EH526" s="72"/>
      <c r="EI526" s="72"/>
      <c r="EJ526" s="72"/>
      <c r="EK526" s="72"/>
      <c r="EL526" s="72"/>
      <c r="EM526" s="72"/>
      <c r="EN526" s="72"/>
    </row>
    <row r="527" spans="1:144" s="65" customFormat="1" ht="30.75" customHeight="1">
      <c r="B527" s="109" t="s">
        <v>510</v>
      </c>
      <c r="C527" s="831" t="s">
        <v>784</v>
      </c>
      <c r="D527" s="905"/>
      <c r="E527" s="905"/>
      <c r="F527" s="905"/>
      <c r="G527" s="905"/>
      <c r="H527" s="905"/>
      <c r="I527" s="905"/>
      <c r="J527" s="905"/>
      <c r="K527" s="905"/>
      <c r="L527" s="905"/>
      <c r="M527" s="905"/>
      <c r="N527" s="905"/>
      <c r="O527" s="28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72"/>
      <c r="AQ527" s="72"/>
      <c r="AR527" s="72"/>
      <c r="AS527" s="72"/>
      <c r="AT527" s="72"/>
      <c r="AU527" s="72"/>
      <c r="AV527" s="72"/>
      <c r="AW527" s="72"/>
      <c r="AX527" s="72"/>
      <c r="AY527" s="72"/>
      <c r="AZ527" s="72"/>
      <c r="BA527" s="72"/>
      <c r="BB527" s="72"/>
      <c r="BC527" s="72"/>
      <c r="BD527" s="72"/>
      <c r="BE527" s="72"/>
      <c r="BF527" s="72"/>
      <c r="BG527" s="72"/>
      <c r="BH527" s="72"/>
      <c r="BI527" s="72"/>
      <c r="BJ527" s="72"/>
      <c r="BK527" s="72"/>
      <c r="BL527" s="72"/>
      <c r="BM527" s="72"/>
      <c r="BN527" s="72"/>
      <c r="BO527" s="72"/>
      <c r="BP527" s="72"/>
      <c r="BQ527" s="72"/>
      <c r="BR527" s="72"/>
      <c r="BS527" s="72"/>
      <c r="BT527" s="72"/>
      <c r="BU527" s="72"/>
      <c r="BV527" s="72"/>
      <c r="BW527" s="72"/>
      <c r="BX527" s="72"/>
      <c r="BY527" s="72"/>
      <c r="BZ527" s="72"/>
      <c r="CA527" s="72"/>
      <c r="CB527" s="72"/>
      <c r="CC527" s="72"/>
      <c r="CD527" s="72"/>
      <c r="CE527" s="72"/>
      <c r="CF527" s="72"/>
      <c r="CG527" s="72"/>
      <c r="CH527" s="72"/>
      <c r="CI527" s="72"/>
      <c r="CJ527" s="72"/>
      <c r="CK527" s="72"/>
      <c r="CL527" s="72"/>
      <c r="CM527" s="72"/>
      <c r="CN527" s="72"/>
      <c r="CO527" s="72"/>
      <c r="CP527" s="72"/>
      <c r="CQ527" s="72"/>
      <c r="CR527" s="72"/>
      <c r="CS527" s="72"/>
      <c r="CT527" s="72"/>
      <c r="CU527" s="72"/>
      <c r="CV527" s="72"/>
      <c r="CW527" s="72"/>
      <c r="CX527" s="72"/>
      <c r="CY527" s="72"/>
      <c r="CZ527" s="72"/>
      <c r="DA527" s="72"/>
      <c r="DB527" s="72"/>
      <c r="DC527" s="72"/>
      <c r="DD527" s="72"/>
      <c r="DE527" s="72"/>
      <c r="DF527" s="72"/>
      <c r="DG527" s="72"/>
      <c r="DH527" s="72"/>
      <c r="DI527" s="72"/>
      <c r="DJ527" s="72"/>
      <c r="DK527" s="72"/>
      <c r="DL527" s="72"/>
      <c r="DM527" s="72"/>
      <c r="DN527" s="72"/>
      <c r="DO527" s="72"/>
      <c r="DP527" s="72"/>
      <c r="DQ527" s="72"/>
      <c r="DR527" s="72"/>
      <c r="DS527" s="72"/>
      <c r="DT527" s="72"/>
      <c r="DU527" s="72"/>
      <c r="DV527" s="72"/>
      <c r="DW527" s="72"/>
      <c r="DX527" s="72"/>
      <c r="DY527" s="72"/>
      <c r="DZ527" s="72"/>
      <c r="EA527" s="72"/>
      <c r="EB527" s="72"/>
      <c r="EC527" s="72"/>
      <c r="ED527" s="72"/>
      <c r="EE527" s="72"/>
      <c r="EF527" s="72"/>
      <c r="EG527" s="72"/>
      <c r="EH527" s="72"/>
      <c r="EI527" s="72"/>
      <c r="EJ527" s="72"/>
      <c r="EK527" s="72"/>
      <c r="EL527" s="72"/>
      <c r="EM527" s="72"/>
      <c r="EN527" s="72"/>
    </row>
    <row r="528" spans="1:144" s="65" customFormat="1" ht="30.75" customHeight="1">
      <c r="B528" s="24" t="s">
        <v>785</v>
      </c>
      <c r="C528" s="791" t="s">
        <v>786</v>
      </c>
      <c r="D528" s="792"/>
      <c r="E528" s="792"/>
      <c r="F528" s="792"/>
      <c r="G528" s="792"/>
      <c r="H528" s="792"/>
      <c r="I528" s="792"/>
      <c r="J528" s="792"/>
      <c r="K528" s="792"/>
      <c r="L528" s="792"/>
      <c r="M528" s="792"/>
      <c r="N528" s="792"/>
      <c r="O528" s="28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72"/>
      <c r="AQ528" s="72"/>
      <c r="AR528" s="72"/>
      <c r="AS528" s="72"/>
      <c r="AT528" s="72"/>
      <c r="AU528" s="72"/>
      <c r="AV528" s="72"/>
      <c r="AW528" s="72"/>
      <c r="AX528" s="72"/>
      <c r="AY528" s="72"/>
      <c r="AZ528" s="72"/>
      <c r="BA528" s="72"/>
      <c r="BB528" s="72"/>
      <c r="BC528" s="72"/>
      <c r="BD528" s="72"/>
      <c r="BE528" s="72"/>
      <c r="BF528" s="72"/>
      <c r="BG528" s="72"/>
      <c r="BH528" s="72"/>
      <c r="BI528" s="72"/>
      <c r="BJ528" s="72"/>
      <c r="BK528" s="72"/>
      <c r="BL528" s="72"/>
      <c r="BM528" s="72"/>
      <c r="BN528" s="72"/>
      <c r="BO528" s="72"/>
      <c r="BP528" s="72"/>
      <c r="BQ528" s="72"/>
      <c r="BR528" s="72"/>
      <c r="BS528" s="72"/>
      <c r="BT528" s="72"/>
      <c r="BU528" s="72"/>
      <c r="BV528" s="72"/>
      <c r="BW528" s="72"/>
      <c r="BX528" s="72"/>
      <c r="BY528" s="72"/>
      <c r="BZ528" s="72"/>
      <c r="CA528" s="72"/>
      <c r="CB528" s="72"/>
      <c r="CC528" s="72"/>
      <c r="CD528" s="72"/>
      <c r="CE528" s="72"/>
      <c r="CF528" s="72"/>
      <c r="CG528" s="72"/>
      <c r="CH528" s="72"/>
      <c r="CI528" s="72"/>
      <c r="CJ528" s="72"/>
      <c r="CK528" s="72"/>
      <c r="CL528" s="72"/>
      <c r="CM528" s="72"/>
      <c r="CN528" s="72"/>
      <c r="CO528" s="72"/>
      <c r="CP528" s="72"/>
      <c r="CQ528" s="72"/>
      <c r="CR528" s="72"/>
      <c r="CS528" s="72"/>
      <c r="CT528" s="72"/>
      <c r="CU528" s="72"/>
      <c r="CV528" s="72"/>
      <c r="CW528" s="72"/>
      <c r="CX528" s="72"/>
      <c r="CY528" s="72"/>
      <c r="CZ528" s="72"/>
      <c r="DA528" s="72"/>
      <c r="DB528" s="72"/>
      <c r="DC528" s="72"/>
      <c r="DD528" s="72"/>
      <c r="DE528" s="72"/>
      <c r="DF528" s="72"/>
      <c r="DG528" s="72"/>
      <c r="DH528" s="72"/>
      <c r="DI528" s="72"/>
      <c r="DJ528" s="72"/>
      <c r="DK528" s="72"/>
      <c r="DL528" s="72"/>
      <c r="DM528" s="72"/>
      <c r="DN528" s="72"/>
      <c r="DO528" s="72"/>
      <c r="DP528" s="72"/>
      <c r="DQ528" s="72"/>
      <c r="DR528" s="72"/>
      <c r="DS528" s="72"/>
      <c r="DT528" s="72"/>
      <c r="DU528" s="72"/>
      <c r="DV528" s="72"/>
      <c r="DW528" s="72"/>
      <c r="DX528" s="72"/>
      <c r="DY528" s="72"/>
      <c r="DZ528" s="72"/>
      <c r="EA528" s="72"/>
      <c r="EB528" s="72"/>
      <c r="EC528" s="72"/>
      <c r="ED528" s="72"/>
      <c r="EE528" s="72"/>
      <c r="EF528" s="72"/>
      <c r="EG528" s="72"/>
      <c r="EH528" s="72"/>
      <c r="EI528" s="72"/>
      <c r="EJ528" s="72"/>
      <c r="EK528" s="72"/>
      <c r="EL528" s="72"/>
      <c r="EM528" s="72"/>
      <c r="EN528" s="72"/>
    </row>
    <row r="529" spans="2:144" s="65" customFormat="1" ht="134.25" customHeight="1">
      <c r="B529" s="556" t="s">
        <v>787</v>
      </c>
      <c r="C529" s="752" t="s">
        <v>788</v>
      </c>
      <c r="D529" s="751"/>
      <c r="E529" s="728">
        <v>250000</v>
      </c>
      <c r="F529" s="728">
        <v>250000</v>
      </c>
      <c r="G529" s="753">
        <f>F529/E529*100</f>
        <v>100</v>
      </c>
      <c r="H529" s="753">
        <f>G529/100</f>
        <v>1</v>
      </c>
      <c r="I529" s="752" t="s">
        <v>801</v>
      </c>
      <c r="J529" s="753" t="s">
        <v>23</v>
      </c>
      <c r="K529" s="753">
        <v>1</v>
      </c>
      <c r="L529" s="753">
        <v>1</v>
      </c>
      <c r="M529" s="753">
        <f>L529/K529*100</f>
        <v>100</v>
      </c>
      <c r="N529" s="916">
        <f>M529/100</f>
        <v>1</v>
      </c>
      <c r="O529" s="28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72"/>
      <c r="AQ529" s="72"/>
      <c r="AR529" s="72"/>
      <c r="AS529" s="72"/>
      <c r="AT529" s="72"/>
      <c r="AU529" s="72"/>
      <c r="AV529" s="72"/>
      <c r="AW529" s="72"/>
      <c r="AX529" s="72"/>
      <c r="AY529" s="72"/>
      <c r="AZ529" s="72"/>
      <c r="BA529" s="72"/>
      <c r="BB529" s="72"/>
      <c r="BC529" s="72"/>
      <c r="BD529" s="72"/>
      <c r="BE529" s="72"/>
      <c r="BF529" s="72"/>
      <c r="BG529" s="72"/>
      <c r="BH529" s="72"/>
      <c r="BI529" s="72"/>
      <c r="BJ529" s="72"/>
      <c r="BK529" s="72"/>
      <c r="BL529" s="72"/>
      <c r="BM529" s="72"/>
      <c r="BN529" s="72"/>
      <c r="BO529" s="72"/>
      <c r="BP529" s="72"/>
      <c r="BQ529" s="72"/>
      <c r="BR529" s="72"/>
      <c r="BS529" s="72"/>
      <c r="BT529" s="72"/>
      <c r="BU529" s="72"/>
      <c r="BV529" s="72"/>
      <c r="BW529" s="72"/>
      <c r="BX529" s="72"/>
      <c r="BY529" s="72"/>
      <c r="BZ529" s="72"/>
      <c r="CA529" s="72"/>
      <c r="CB529" s="72"/>
      <c r="CC529" s="72"/>
      <c r="CD529" s="72"/>
      <c r="CE529" s="72"/>
      <c r="CF529" s="72"/>
      <c r="CG529" s="72"/>
      <c r="CH529" s="72"/>
      <c r="CI529" s="72"/>
      <c r="CJ529" s="72"/>
      <c r="CK529" s="72"/>
      <c r="CL529" s="72"/>
      <c r="CM529" s="72"/>
      <c r="CN529" s="72"/>
      <c r="CO529" s="72"/>
      <c r="CP529" s="72"/>
      <c r="CQ529" s="72"/>
      <c r="CR529" s="72"/>
      <c r="CS529" s="72"/>
      <c r="CT529" s="72"/>
      <c r="CU529" s="72"/>
      <c r="CV529" s="72"/>
      <c r="CW529" s="72"/>
      <c r="CX529" s="72"/>
      <c r="CY529" s="72"/>
      <c r="CZ529" s="72"/>
      <c r="DA529" s="72"/>
      <c r="DB529" s="72"/>
      <c r="DC529" s="72"/>
      <c r="DD529" s="72"/>
      <c r="DE529" s="72"/>
      <c r="DF529" s="72"/>
      <c r="DG529" s="72"/>
      <c r="DH529" s="72"/>
      <c r="DI529" s="72"/>
      <c r="DJ529" s="72"/>
      <c r="DK529" s="72"/>
      <c r="DL529" s="72"/>
      <c r="DM529" s="72"/>
      <c r="DN529" s="72"/>
      <c r="DO529" s="72"/>
      <c r="DP529" s="72"/>
      <c r="DQ529" s="72"/>
      <c r="DR529" s="72"/>
      <c r="DS529" s="72"/>
      <c r="DT529" s="72"/>
      <c r="DU529" s="72"/>
      <c r="DV529" s="72"/>
      <c r="DW529" s="72"/>
      <c r="DX529" s="72"/>
      <c r="DY529" s="72"/>
      <c r="DZ529" s="72"/>
      <c r="EA529" s="72"/>
      <c r="EB529" s="72"/>
      <c r="EC529" s="72"/>
      <c r="ED529" s="72"/>
      <c r="EE529" s="72"/>
      <c r="EF529" s="72"/>
      <c r="EG529" s="72"/>
      <c r="EH529" s="72"/>
      <c r="EI529" s="72"/>
      <c r="EJ529" s="72"/>
      <c r="EK529" s="72"/>
      <c r="EL529" s="72"/>
      <c r="EM529" s="72"/>
      <c r="EN529" s="72"/>
    </row>
    <row r="530" spans="2:144" s="65" customFormat="1" ht="30.75" customHeight="1">
      <c r="B530" s="69"/>
      <c r="C530" s="61" t="s">
        <v>161</v>
      </c>
      <c r="D530" s="401"/>
      <c r="E530" s="305">
        <f>E529</f>
        <v>250000</v>
      </c>
      <c r="F530" s="305">
        <f>F529</f>
        <v>250000</v>
      </c>
      <c r="G530" s="305">
        <f>G529</f>
        <v>100</v>
      </c>
      <c r="H530" s="456">
        <v>1</v>
      </c>
      <c r="I530" s="61"/>
      <c r="J530" s="88"/>
      <c r="K530" s="265"/>
      <c r="L530" s="265"/>
      <c r="M530" s="715">
        <f>M529</f>
        <v>100</v>
      </c>
      <c r="N530" s="248">
        <f>M530/100</f>
        <v>1</v>
      </c>
      <c r="O530" s="28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72"/>
      <c r="AQ530" s="72"/>
      <c r="AR530" s="72"/>
      <c r="AS530" s="72"/>
      <c r="AT530" s="72"/>
      <c r="AU530" s="72"/>
      <c r="AV530" s="72"/>
      <c r="AW530" s="72"/>
      <c r="AX530" s="72"/>
      <c r="AY530" s="72"/>
      <c r="AZ530" s="72"/>
      <c r="BA530" s="72"/>
      <c r="BB530" s="72"/>
      <c r="BC530" s="72"/>
      <c r="BD530" s="72"/>
      <c r="BE530" s="72"/>
      <c r="BF530" s="72"/>
      <c r="BG530" s="72"/>
      <c r="BH530" s="72"/>
      <c r="BI530" s="72"/>
      <c r="BJ530" s="72"/>
      <c r="BK530" s="72"/>
      <c r="BL530" s="72"/>
      <c r="BM530" s="72"/>
      <c r="BN530" s="72"/>
      <c r="BO530" s="72"/>
      <c r="BP530" s="72"/>
      <c r="BQ530" s="72"/>
      <c r="BR530" s="72"/>
      <c r="BS530" s="72"/>
      <c r="BT530" s="72"/>
      <c r="BU530" s="72"/>
      <c r="BV530" s="72"/>
      <c r="BW530" s="72"/>
      <c r="BX530" s="72"/>
      <c r="BY530" s="72"/>
      <c r="BZ530" s="72"/>
      <c r="CA530" s="72"/>
      <c r="CB530" s="72"/>
      <c r="CC530" s="72"/>
      <c r="CD530" s="72"/>
      <c r="CE530" s="72"/>
      <c r="CF530" s="72"/>
      <c r="CG530" s="72"/>
      <c r="CH530" s="72"/>
      <c r="CI530" s="72"/>
      <c r="CJ530" s="72"/>
      <c r="CK530" s="72"/>
      <c r="CL530" s="72"/>
      <c r="CM530" s="72"/>
      <c r="CN530" s="72"/>
      <c r="CO530" s="72"/>
      <c r="CP530" s="72"/>
      <c r="CQ530" s="72"/>
      <c r="CR530" s="72"/>
      <c r="CS530" s="72"/>
      <c r="CT530" s="72"/>
      <c r="CU530" s="72"/>
      <c r="CV530" s="72"/>
      <c r="CW530" s="72"/>
      <c r="CX530" s="72"/>
      <c r="CY530" s="72"/>
      <c r="CZ530" s="72"/>
      <c r="DA530" s="72"/>
      <c r="DB530" s="72"/>
      <c r="DC530" s="72"/>
      <c r="DD530" s="72"/>
      <c r="DE530" s="72"/>
      <c r="DF530" s="72"/>
      <c r="DG530" s="72"/>
      <c r="DH530" s="72"/>
      <c r="DI530" s="72"/>
      <c r="DJ530" s="72"/>
      <c r="DK530" s="72"/>
      <c r="DL530" s="72"/>
      <c r="DM530" s="72"/>
      <c r="DN530" s="72"/>
      <c r="DO530" s="72"/>
      <c r="DP530" s="72"/>
      <c r="DQ530" s="72"/>
      <c r="DR530" s="72"/>
      <c r="DS530" s="72"/>
      <c r="DT530" s="72"/>
      <c r="DU530" s="72"/>
      <c r="DV530" s="72"/>
      <c r="DW530" s="72"/>
      <c r="DX530" s="72"/>
      <c r="DY530" s="72"/>
      <c r="DZ530" s="72"/>
      <c r="EA530" s="72"/>
      <c r="EB530" s="72"/>
      <c r="EC530" s="72"/>
      <c r="ED530" s="72"/>
      <c r="EE530" s="72"/>
      <c r="EF530" s="72"/>
      <c r="EG530" s="72"/>
      <c r="EH530" s="72"/>
      <c r="EI530" s="72"/>
      <c r="EJ530" s="72"/>
      <c r="EK530" s="72"/>
      <c r="EL530" s="72"/>
      <c r="EM530" s="72"/>
      <c r="EN530" s="72"/>
    </row>
    <row r="531" spans="2:144" s="65" customFormat="1" ht="30.75" customHeight="1">
      <c r="B531" s="754" t="s">
        <v>789</v>
      </c>
      <c r="C531" s="825" t="s">
        <v>790</v>
      </c>
      <c r="D531" s="826"/>
      <c r="E531" s="826"/>
      <c r="F531" s="826"/>
      <c r="G531" s="826"/>
      <c r="H531" s="826"/>
      <c r="I531" s="826"/>
      <c r="J531" s="826"/>
      <c r="K531" s="826"/>
      <c r="L531" s="826"/>
      <c r="M531" s="826"/>
      <c r="N531" s="826"/>
      <c r="O531" s="28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72"/>
      <c r="AQ531" s="72"/>
      <c r="AR531" s="72"/>
      <c r="AS531" s="72"/>
      <c r="AT531" s="72"/>
      <c r="AU531" s="72"/>
      <c r="AV531" s="72"/>
      <c r="AW531" s="72"/>
      <c r="AX531" s="72"/>
      <c r="AY531" s="72"/>
      <c r="AZ531" s="72"/>
      <c r="BA531" s="72"/>
      <c r="BB531" s="72"/>
      <c r="BC531" s="72"/>
      <c r="BD531" s="72"/>
      <c r="BE531" s="72"/>
      <c r="BF531" s="72"/>
      <c r="BG531" s="72"/>
      <c r="BH531" s="72"/>
      <c r="BI531" s="72"/>
      <c r="BJ531" s="72"/>
      <c r="BK531" s="72"/>
      <c r="BL531" s="72"/>
      <c r="BM531" s="72"/>
      <c r="BN531" s="72"/>
      <c r="BO531" s="72"/>
      <c r="BP531" s="72"/>
      <c r="BQ531" s="72"/>
      <c r="BR531" s="72"/>
      <c r="BS531" s="72"/>
      <c r="BT531" s="72"/>
      <c r="BU531" s="72"/>
      <c r="BV531" s="72"/>
      <c r="BW531" s="72"/>
      <c r="BX531" s="72"/>
      <c r="BY531" s="72"/>
      <c r="BZ531" s="72"/>
      <c r="CA531" s="72"/>
      <c r="CB531" s="72"/>
      <c r="CC531" s="72"/>
      <c r="CD531" s="72"/>
      <c r="CE531" s="72"/>
      <c r="CF531" s="72"/>
      <c r="CG531" s="72"/>
      <c r="CH531" s="72"/>
      <c r="CI531" s="72"/>
      <c r="CJ531" s="72"/>
      <c r="CK531" s="72"/>
      <c r="CL531" s="72"/>
      <c r="CM531" s="72"/>
      <c r="CN531" s="72"/>
      <c r="CO531" s="72"/>
      <c r="CP531" s="72"/>
      <c r="CQ531" s="72"/>
      <c r="CR531" s="72"/>
      <c r="CS531" s="72"/>
      <c r="CT531" s="72"/>
      <c r="CU531" s="72"/>
      <c r="CV531" s="72"/>
      <c r="CW531" s="72"/>
      <c r="CX531" s="72"/>
      <c r="CY531" s="72"/>
      <c r="CZ531" s="72"/>
      <c r="DA531" s="72"/>
      <c r="DB531" s="72"/>
      <c r="DC531" s="72"/>
      <c r="DD531" s="72"/>
      <c r="DE531" s="72"/>
      <c r="DF531" s="72"/>
      <c r="DG531" s="72"/>
      <c r="DH531" s="72"/>
      <c r="DI531" s="72"/>
      <c r="DJ531" s="72"/>
      <c r="DK531" s="72"/>
      <c r="DL531" s="72"/>
      <c r="DM531" s="72"/>
      <c r="DN531" s="72"/>
      <c r="DO531" s="72"/>
      <c r="DP531" s="72"/>
      <c r="DQ531" s="72"/>
      <c r="DR531" s="72"/>
      <c r="DS531" s="72"/>
      <c r="DT531" s="72"/>
      <c r="DU531" s="72"/>
      <c r="DV531" s="72"/>
      <c r="DW531" s="72"/>
      <c r="DX531" s="72"/>
      <c r="DY531" s="72"/>
      <c r="DZ531" s="72"/>
      <c r="EA531" s="72"/>
      <c r="EB531" s="72"/>
      <c r="EC531" s="72"/>
      <c r="ED531" s="72"/>
      <c r="EE531" s="72"/>
      <c r="EF531" s="72"/>
      <c r="EG531" s="72"/>
      <c r="EH531" s="72"/>
      <c r="EI531" s="72"/>
      <c r="EJ531" s="72"/>
      <c r="EK531" s="72"/>
      <c r="EL531" s="72"/>
      <c r="EM531" s="72"/>
      <c r="EN531" s="72"/>
    </row>
    <row r="532" spans="2:144" s="65" customFormat="1" ht="64.5" customHeight="1">
      <c r="B532" s="556" t="s">
        <v>791</v>
      </c>
      <c r="C532" s="752" t="s">
        <v>792</v>
      </c>
      <c r="D532" s="751"/>
      <c r="E532" s="728">
        <v>1223626.69</v>
      </c>
      <c r="F532" s="728">
        <v>1223616.57</v>
      </c>
      <c r="G532" s="753">
        <f>F532/E532*100</f>
        <v>99.999172950371005</v>
      </c>
      <c r="H532" s="755">
        <f>G532/100</f>
        <v>0.99999172950371007</v>
      </c>
      <c r="I532" s="757" t="s">
        <v>802</v>
      </c>
      <c r="J532" s="629" t="s">
        <v>804</v>
      </c>
      <c r="K532" s="758">
        <v>1702.05</v>
      </c>
      <c r="L532" s="681">
        <v>1702.05</v>
      </c>
      <c r="M532" s="753">
        <f>L532/K532*100</f>
        <v>100</v>
      </c>
      <c r="N532" s="916">
        <f>M532/100</f>
        <v>1</v>
      </c>
      <c r="O532" s="28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72"/>
      <c r="AQ532" s="72"/>
      <c r="AR532" s="72"/>
      <c r="AS532" s="72"/>
      <c r="AT532" s="72"/>
      <c r="AU532" s="72"/>
      <c r="AV532" s="72"/>
      <c r="AW532" s="72"/>
      <c r="AX532" s="72"/>
      <c r="AY532" s="72"/>
      <c r="AZ532" s="72"/>
      <c r="BA532" s="72"/>
      <c r="BB532" s="72"/>
      <c r="BC532" s="72"/>
      <c r="BD532" s="72"/>
      <c r="BE532" s="72"/>
      <c r="BF532" s="72"/>
      <c r="BG532" s="72"/>
      <c r="BH532" s="72"/>
      <c r="BI532" s="72"/>
      <c r="BJ532" s="72"/>
      <c r="BK532" s="72"/>
      <c r="BL532" s="72"/>
      <c r="BM532" s="72"/>
      <c r="BN532" s="72"/>
      <c r="BO532" s="72"/>
      <c r="BP532" s="72"/>
      <c r="BQ532" s="72"/>
      <c r="BR532" s="72"/>
      <c r="BS532" s="72"/>
      <c r="BT532" s="72"/>
      <c r="BU532" s="72"/>
      <c r="BV532" s="72"/>
      <c r="BW532" s="72"/>
      <c r="BX532" s="72"/>
      <c r="BY532" s="72"/>
      <c r="BZ532" s="72"/>
      <c r="CA532" s="72"/>
      <c r="CB532" s="72"/>
      <c r="CC532" s="72"/>
      <c r="CD532" s="72"/>
      <c r="CE532" s="72"/>
      <c r="CF532" s="72"/>
      <c r="CG532" s="72"/>
      <c r="CH532" s="72"/>
      <c r="CI532" s="72"/>
      <c r="CJ532" s="72"/>
      <c r="CK532" s="72"/>
      <c r="CL532" s="72"/>
      <c r="CM532" s="72"/>
      <c r="CN532" s="72"/>
      <c r="CO532" s="72"/>
      <c r="CP532" s="72"/>
      <c r="CQ532" s="72"/>
      <c r="CR532" s="72"/>
      <c r="CS532" s="72"/>
      <c r="CT532" s="72"/>
      <c r="CU532" s="72"/>
      <c r="CV532" s="72"/>
      <c r="CW532" s="72"/>
      <c r="CX532" s="72"/>
      <c r="CY532" s="72"/>
      <c r="CZ532" s="72"/>
      <c r="DA532" s="72"/>
      <c r="DB532" s="72"/>
      <c r="DC532" s="72"/>
      <c r="DD532" s="72"/>
      <c r="DE532" s="72"/>
      <c r="DF532" s="72"/>
      <c r="DG532" s="72"/>
      <c r="DH532" s="72"/>
      <c r="DI532" s="72"/>
      <c r="DJ532" s="72"/>
      <c r="DK532" s="72"/>
      <c r="DL532" s="72"/>
      <c r="DM532" s="72"/>
      <c r="DN532" s="72"/>
      <c r="DO532" s="72"/>
      <c r="DP532" s="72"/>
      <c r="DQ532" s="72"/>
      <c r="DR532" s="72"/>
      <c r="DS532" s="72"/>
      <c r="DT532" s="72"/>
      <c r="DU532" s="72"/>
      <c r="DV532" s="72"/>
      <c r="DW532" s="72"/>
      <c r="DX532" s="72"/>
      <c r="DY532" s="72"/>
      <c r="DZ532" s="72"/>
      <c r="EA532" s="72"/>
      <c r="EB532" s="72"/>
      <c r="EC532" s="72"/>
      <c r="ED532" s="72"/>
      <c r="EE532" s="72"/>
      <c r="EF532" s="72"/>
      <c r="EG532" s="72"/>
      <c r="EH532" s="72"/>
      <c r="EI532" s="72"/>
      <c r="EJ532" s="72"/>
      <c r="EK532" s="72"/>
      <c r="EL532" s="72"/>
      <c r="EM532" s="72"/>
      <c r="EN532" s="72"/>
    </row>
    <row r="533" spans="2:144" s="65" customFormat="1" ht="64.5" customHeight="1">
      <c r="B533" s="556" t="s">
        <v>793</v>
      </c>
      <c r="C533" s="752" t="s">
        <v>796</v>
      </c>
      <c r="D533" s="751"/>
      <c r="E533" s="728">
        <v>6391058.2699999996</v>
      </c>
      <c r="F533" s="728">
        <v>6391058.2699999996</v>
      </c>
      <c r="G533" s="753">
        <f t="shared" ref="G533:G536" si="39">F533/E533*100</f>
        <v>100</v>
      </c>
      <c r="H533" s="755">
        <f t="shared" ref="H533:H536" si="40">G533/100</f>
        <v>1</v>
      </c>
      <c r="I533" s="757" t="s">
        <v>803</v>
      </c>
      <c r="J533" s="629" t="s">
        <v>196</v>
      </c>
      <c r="K533" s="758">
        <v>9</v>
      </c>
      <c r="L533" s="681">
        <v>9</v>
      </c>
      <c r="M533" s="753">
        <f>L533/K533*100</f>
        <v>100</v>
      </c>
      <c r="N533" s="916">
        <f>M533/100</f>
        <v>1</v>
      </c>
      <c r="O533" s="28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72"/>
      <c r="AQ533" s="72"/>
      <c r="AR533" s="72"/>
      <c r="AS533" s="72"/>
      <c r="AT533" s="72"/>
      <c r="AU533" s="72"/>
      <c r="AV533" s="72"/>
      <c r="AW533" s="72"/>
      <c r="AX533" s="72"/>
      <c r="AY533" s="72"/>
      <c r="AZ533" s="72"/>
      <c r="BA533" s="72"/>
      <c r="BB533" s="72"/>
      <c r="BC533" s="72"/>
      <c r="BD533" s="72"/>
      <c r="BE533" s="72"/>
      <c r="BF533" s="72"/>
      <c r="BG533" s="72"/>
      <c r="BH533" s="72"/>
      <c r="BI533" s="72"/>
      <c r="BJ533" s="72"/>
      <c r="BK533" s="72"/>
      <c r="BL533" s="72"/>
      <c r="BM533" s="72"/>
      <c r="BN533" s="72"/>
      <c r="BO533" s="72"/>
      <c r="BP533" s="72"/>
      <c r="BQ533" s="72"/>
      <c r="BR533" s="72"/>
      <c r="BS533" s="72"/>
      <c r="BT533" s="72"/>
      <c r="BU533" s="72"/>
      <c r="BV533" s="72"/>
      <c r="BW533" s="72"/>
      <c r="BX533" s="72"/>
      <c r="BY533" s="72"/>
      <c r="BZ533" s="72"/>
      <c r="CA533" s="72"/>
      <c r="CB533" s="72"/>
      <c r="CC533" s="72"/>
      <c r="CD533" s="72"/>
      <c r="CE533" s="72"/>
      <c r="CF533" s="72"/>
      <c r="CG533" s="72"/>
      <c r="CH533" s="72"/>
      <c r="CI533" s="72"/>
      <c r="CJ533" s="72"/>
      <c r="CK533" s="72"/>
      <c r="CL533" s="72"/>
      <c r="CM533" s="72"/>
      <c r="CN533" s="72"/>
      <c r="CO533" s="72"/>
      <c r="CP533" s="72"/>
      <c r="CQ533" s="72"/>
      <c r="CR533" s="72"/>
      <c r="CS533" s="72"/>
      <c r="CT533" s="72"/>
      <c r="CU533" s="72"/>
      <c r="CV533" s="72"/>
      <c r="CW533" s="72"/>
      <c r="CX533" s="72"/>
      <c r="CY533" s="72"/>
      <c r="CZ533" s="72"/>
      <c r="DA533" s="72"/>
      <c r="DB533" s="72"/>
      <c r="DC533" s="72"/>
      <c r="DD533" s="72"/>
      <c r="DE533" s="72"/>
      <c r="DF533" s="72"/>
      <c r="DG533" s="72"/>
      <c r="DH533" s="72"/>
      <c r="DI533" s="72"/>
      <c r="DJ533" s="72"/>
      <c r="DK533" s="72"/>
      <c r="DL533" s="72"/>
      <c r="DM533" s="72"/>
      <c r="DN533" s="72"/>
      <c r="DO533" s="72"/>
      <c r="DP533" s="72"/>
      <c r="DQ533" s="72"/>
      <c r="DR533" s="72"/>
      <c r="DS533" s="72"/>
      <c r="DT533" s="72"/>
      <c r="DU533" s="72"/>
      <c r="DV533" s="72"/>
      <c r="DW533" s="72"/>
      <c r="DX533" s="72"/>
      <c r="DY533" s="72"/>
      <c r="DZ533" s="72"/>
      <c r="EA533" s="72"/>
      <c r="EB533" s="72"/>
      <c r="EC533" s="72"/>
      <c r="ED533" s="72"/>
      <c r="EE533" s="72"/>
      <c r="EF533" s="72"/>
      <c r="EG533" s="72"/>
      <c r="EH533" s="72"/>
      <c r="EI533" s="72"/>
      <c r="EJ533" s="72"/>
      <c r="EK533" s="72"/>
      <c r="EL533" s="72"/>
      <c r="EM533" s="72"/>
      <c r="EN533" s="72"/>
    </row>
    <row r="534" spans="2:144" s="65" customFormat="1" ht="89.25" customHeight="1">
      <c r="B534" s="556" t="s">
        <v>794</v>
      </c>
      <c r="C534" s="752" t="s">
        <v>797</v>
      </c>
      <c r="D534" s="751"/>
      <c r="E534" s="728">
        <v>12259067.689999999</v>
      </c>
      <c r="F534" s="728">
        <v>12258679.689999999</v>
      </c>
      <c r="G534" s="753">
        <f t="shared" si="39"/>
        <v>99.996834995859302</v>
      </c>
      <c r="H534" s="755">
        <f t="shared" si="40"/>
        <v>0.99996834995859307</v>
      </c>
      <c r="I534" s="751"/>
      <c r="J534" s="751"/>
      <c r="K534" s="751"/>
      <c r="L534" s="751"/>
      <c r="M534" s="751"/>
      <c r="N534" s="917"/>
      <c r="O534" s="28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72"/>
      <c r="AQ534" s="72"/>
      <c r="AR534" s="72"/>
      <c r="AS534" s="72"/>
      <c r="AT534" s="72"/>
      <c r="AU534" s="72"/>
      <c r="AV534" s="72"/>
      <c r="AW534" s="72"/>
      <c r="AX534" s="72"/>
      <c r="AY534" s="72"/>
      <c r="AZ534" s="72"/>
      <c r="BA534" s="72"/>
      <c r="BB534" s="72"/>
      <c r="BC534" s="72"/>
      <c r="BD534" s="72"/>
      <c r="BE534" s="72"/>
      <c r="BF534" s="72"/>
      <c r="BG534" s="72"/>
      <c r="BH534" s="72"/>
      <c r="BI534" s="72"/>
      <c r="BJ534" s="72"/>
      <c r="BK534" s="72"/>
      <c r="BL534" s="72"/>
      <c r="BM534" s="72"/>
      <c r="BN534" s="72"/>
      <c r="BO534" s="72"/>
      <c r="BP534" s="72"/>
      <c r="BQ534" s="72"/>
      <c r="BR534" s="72"/>
      <c r="BS534" s="72"/>
      <c r="BT534" s="72"/>
      <c r="BU534" s="72"/>
      <c r="BV534" s="72"/>
      <c r="BW534" s="72"/>
      <c r="BX534" s="72"/>
      <c r="BY534" s="72"/>
      <c r="BZ534" s="72"/>
      <c r="CA534" s="72"/>
      <c r="CB534" s="72"/>
      <c r="CC534" s="72"/>
      <c r="CD534" s="72"/>
      <c r="CE534" s="72"/>
      <c r="CF534" s="72"/>
      <c r="CG534" s="72"/>
      <c r="CH534" s="72"/>
      <c r="CI534" s="72"/>
      <c r="CJ534" s="72"/>
      <c r="CK534" s="72"/>
      <c r="CL534" s="72"/>
      <c r="CM534" s="72"/>
      <c r="CN534" s="72"/>
      <c r="CO534" s="72"/>
      <c r="CP534" s="72"/>
      <c r="CQ534" s="72"/>
      <c r="CR534" s="72"/>
      <c r="CS534" s="72"/>
      <c r="CT534" s="72"/>
      <c r="CU534" s="72"/>
      <c r="CV534" s="72"/>
      <c r="CW534" s="72"/>
      <c r="CX534" s="72"/>
      <c r="CY534" s="72"/>
      <c r="CZ534" s="72"/>
      <c r="DA534" s="72"/>
      <c r="DB534" s="72"/>
      <c r="DC534" s="72"/>
      <c r="DD534" s="72"/>
      <c r="DE534" s="72"/>
      <c r="DF534" s="72"/>
      <c r="DG534" s="72"/>
      <c r="DH534" s="72"/>
      <c r="DI534" s="72"/>
      <c r="DJ534" s="72"/>
      <c r="DK534" s="72"/>
      <c r="DL534" s="72"/>
      <c r="DM534" s="72"/>
      <c r="DN534" s="72"/>
      <c r="DO534" s="72"/>
      <c r="DP534" s="72"/>
      <c r="DQ534" s="72"/>
      <c r="DR534" s="72"/>
      <c r="DS534" s="72"/>
      <c r="DT534" s="72"/>
      <c r="DU534" s="72"/>
      <c r="DV534" s="72"/>
      <c r="DW534" s="72"/>
      <c r="DX534" s="72"/>
      <c r="DY534" s="72"/>
      <c r="DZ534" s="72"/>
      <c r="EA534" s="72"/>
      <c r="EB534" s="72"/>
      <c r="EC534" s="72"/>
      <c r="ED534" s="72"/>
      <c r="EE534" s="72"/>
      <c r="EF534" s="72"/>
      <c r="EG534" s="72"/>
      <c r="EH534" s="72"/>
      <c r="EI534" s="72"/>
      <c r="EJ534" s="72"/>
      <c r="EK534" s="72"/>
      <c r="EL534" s="72"/>
      <c r="EM534" s="72"/>
      <c r="EN534" s="72"/>
    </row>
    <row r="535" spans="2:144" s="65" customFormat="1" ht="114.75" customHeight="1">
      <c r="B535" s="556" t="s">
        <v>795</v>
      </c>
      <c r="C535" s="752" t="s">
        <v>798</v>
      </c>
      <c r="D535" s="751"/>
      <c r="E535" s="728">
        <v>2130688.85</v>
      </c>
      <c r="F535" s="728">
        <v>2130688.85</v>
      </c>
      <c r="G535" s="753">
        <f t="shared" si="39"/>
        <v>100</v>
      </c>
      <c r="H535" s="755">
        <f t="shared" si="40"/>
        <v>1</v>
      </c>
      <c r="I535" s="751"/>
      <c r="J535" s="751"/>
      <c r="K535" s="751"/>
      <c r="L535" s="751"/>
      <c r="M535" s="751"/>
      <c r="N535" s="917"/>
      <c r="O535" s="28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72"/>
      <c r="AQ535" s="72"/>
      <c r="AR535" s="72"/>
      <c r="AS535" s="72"/>
      <c r="AT535" s="72"/>
      <c r="AU535" s="72"/>
      <c r="AV535" s="72"/>
      <c r="AW535" s="72"/>
      <c r="AX535" s="72"/>
      <c r="AY535" s="72"/>
      <c r="AZ535" s="72"/>
      <c r="BA535" s="72"/>
      <c r="BB535" s="72"/>
      <c r="BC535" s="72"/>
      <c r="BD535" s="72"/>
      <c r="BE535" s="72"/>
      <c r="BF535" s="72"/>
      <c r="BG535" s="72"/>
      <c r="BH535" s="72"/>
      <c r="BI535" s="72"/>
      <c r="BJ535" s="72"/>
      <c r="BK535" s="72"/>
      <c r="BL535" s="72"/>
      <c r="BM535" s="72"/>
      <c r="BN535" s="72"/>
      <c r="BO535" s="72"/>
      <c r="BP535" s="72"/>
      <c r="BQ535" s="72"/>
      <c r="BR535" s="72"/>
      <c r="BS535" s="72"/>
      <c r="BT535" s="72"/>
      <c r="BU535" s="72"/>
      <c r="BV535" s="72"/>
      <c r="BW535" s="72"/>
      <c r="BX535" s="72"/>
      <c r="BY535" s="72"/>
      <c r="BZ535" s="72"/>
      <c r="CA535" s="72"/>
      <c r="CB535" s="72"/>
      <c r="CC535" s="72"/>
      <c r="CD535" s="72"/>
      <c r="CE535" s="72"/>
      <c r="CF535" s="72"/>
      <c r="CG535" s="72"/>
      <c r="CH535" s="72"/>
      <c r="CI535" s="72"/>
      <c r="CJ535" s="72"/>
      <c r="CK535" s="72"/>
      <c r="CL535" s="72"/>
      <c r="CM535" s="72"/>
      <c r="CN535" s="72"/>
      <c r="CO535" s="72"/>
      <c r="CP535" s="72"/>
      <c r="CQ535" s="72"/>
      <c r="CR535" s="72"/>
      <c r="CS535" s="72"/>
      <c r="CT535" s="72"/>
      <c r="CU535" s="72"/>
      <c r="CV535" s="72"/>
      <c r="CW535" s="72"/>
      <c r="CX535" s="72"/>
      <c r="CY535" s="72"/>
      <c r="CZ535" s="72"/>
      <c r="DA535" s="72"/>
      <c r="DB535" s="72"/>
      <c r="DC535" s="72"/>
      <c r="DD535" s="72"/>
      <c r="DE535" s="72"/>
      <c r="DF535" s="72"/>
      <c r="DG535" s="72"/>
      <c r="DH535" s="72"/>
      <c r="DI535" s="72"/>
      <c r="DJ535" s="72"/>
      <c r="DK535" s="72"/>
      <c r="DL535" s="72"/>
      <c r="DM535" s="72"/>
      <c r="DN535" s="72"/>
      <c r="DO535" s="72"/>
      <c r="DP535" s="72"/>
      <c r="DQ535" s="72"/>
      <c r="DR535" s="72"/>
      <c r="DS535" s="72"/>
      <c r="DT535" s="72"/>
      <c r="DU535" s="72"/>
      <c r="DV535" s="72"/>
      <c r="DW535" s="72"/>
      <c r="DX535" s="72"/>
      <c r="DY535" s="72"/>
      <c r="DZ535" s="72"/>
      <c r="EA535" s="72"/>
      <c r="EB535" s="72"/>
      <c r="EC535" s="72"/>
      <c r="ED535" s="72"/>
      <c r="EE535" s="72"/>
      <c r="EF535" s="72"/>
      <c r="EG535" s="72"/>
      <c r="EH535" s="72"/>
      <c r="EI535" s="72"/>
      <c r="EJ535" s="72"/>
      <c r="EK535" s="72"/>
      <c r="EL535" s="72"/>
      <c r="EM535" s="72"/>
      <c r="EN535" s="72"/>
    </row>
    <row r="536" spans="2:144" s="65" customFormat="1" ht="33" customHeight="1">
      <c r="B536" s="69"/>
      <c r="C536" s="61" t="s">
        <v>161</v>
      </c>
      <c r="D536" s="401"/>
      <c r="E536" s="305">
        <f>E532+E533+E534+E535</f>
        <v>22004441.5</v>
      </c>
      <c r="F536" s="305">
        <f>F532+F533+F534+F535</f>
        <v>22004043.380000003</v>
      </c>
      <c r="G536" s="746">
        <f t="shared" si="39"/>
        <v>99.998190728903538</v>
      </c>
      <c r="H536" s="746">
        <f t="shared" si="40"/>
        <v>0.99998190728903535</v>
      </c>
      <c r="I536" s="61"/>
      <c r="J536" s="88"/>
      <c r="K536" s="265"/>
      <c r="L536" s="265"/>
      <c r="M536" s="715">
        <f>(M532+M533)/2</f>
        <v>100</v>
      </c>
      <c r="N536" s="248">
        <v>1</v>
      </c>
      <c r="O536" s="28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72"/>
      <c r="AQ536" s="72"/>
      <c r="AR536" s="72"/>
      <c r="AS536" s="72"/>
      <c r="AT536" s="72"/>
      <c r="AU536" s="72"/>
      <c r="AV536" s="72"/>
      <c r="AW536" s="72"/>
      <c r="AX536" s="72"/>
      <c r="AY536" s="72"/>
      <c r="AZ536" s="72"/>
      <c r="BA536" s="72"/>
      <c r="BB536" s="72"/>
      <c r="BC536" s="72"/>
      <c r="BD536" s="72"/>
      <c r="BE536" s="72"/>
      <c r="BF536" s="72"/>
      <c r="BG536" s="72"/>
      <c r="BH536" s="72"/>
      <c r="BI536" s="72"/>
      <c r="BJ536" s="72"/>
      <c r="BK536" s="72"/>
      <c r="BL536" s="72"/>
      <c r="BM536" s="72"/>
      <c r="BN536" s="72"/>
      <c r="BO536" s="72"/>
      <c r="BP536" s="72"/>
      <c r="BQ536" s="72"/>
      <c r="BR536" s="72"/>
      <c r="BS536" s="72"/>
      <c r="BT536" s="72"/>
      <c r="BU536" s="72"/>
      <c r="BV536" s="72"/>
      <c r="BW536" s="72"/>
      <c r="BX536" s="72"/>
      <c r="BY536" s="72"/>
      <c r="BZ536" s="72"/>
      <c r="CA536" s="72"/>
      <c r="CB536" s="72"/>
      <c r="CC536" s="72"/>
      <c r="CD536" s="72"/>
      <c r="CE536" s="72"/>
      <c r="CF536" s="72"/>
      <c r="CG536" s="72"/>
      <c r="CH536" s="72"/>
      <c r="CI536" s="72"/>
      <c r="CJ536" s="72"/>
      <c r="CK536" s="72"/>
      <c r="CL536" s="72"/>
      <c r="CM536" s="72"/>
      <c r="CN536" s="72"/>
      <c r="CO536" s="72"/>
      <c r="CP536" s="72"/>
      <c r="CQ536" s="72"/>
      <c r="CR536" s="72"/>
      <c r="CS536" s="72"/>
      <c r="CT536" s="72"/>
      <c r="CU536" s="72"/>
      <c r="CV536" s="72"/>
      <c r="CW536" s="72"/>
      <c r="CX536" s="72"/>
      <c r="CY536" s="72"/>
      <c r="CZ536" s="72"/>
      <c r="DA536" s="72"/>
      <c r="DB536" s="72"/>
      <c r="DC536" s="72"/>
      <c r="DD536" s="72"/>
      <c r="DE536" s="72"/>
      <c r="DF536" s="72"/>
      <c r="DG536" s="72"/>
      <c r="DH536" s="72"/>
      <c r="DI536" s="72"/>
      <c r="DJ536" s="72"/>
      <c r="DK536" s="72"/>
      <c r="DL536" s="72"/>
      <c r="DM536" s="72"/>
      <c r="DN536" s="72"/>
      <c r="DO536" s="72"/>
      <c r="DP536" s="72"/>
      <c r="DQ536" s="72"/>
      <c r="DR536" s="72"/>
      <c r="DS536" s="72"/>
      <c r="DT536" s="72"/>
      <c r="DU536" s="72"/>
      <c r="DV536" s="72"/>
      <c r="DW536" s="72"/>
      <c r="DX536" s="72"/>
      <c r="DY536" s="72"/>
      <c r="DZ536" s="72"/>
      <c r="EA536" s="72"/>
      <c r="EB536" s="72"/>
      <c r="EC536" s="72"/>
      <c r="ED536" s="72"/>
      <c r="EE536" s="72"/>
      <c r="EF536" s="72"/>
      <c r="EG536" s="72"/>
      <c r="EH536" s="72"/>
      <c r="EI536" s="72"/>
      <c r="EJ536" s="72"/>
      <c r="EK536" s="72"/>
      <c r="EL536" s="72"/>
      <c r="EM536" s="72"/>
      <c r="EN536" s="72"/>
    </row>
    <row r="537" spans="2:144" s="65" customFormat="1" ht="42.75" customHeight="1">
      <c r="B537" s="488"/>
      <c r="C537" s="582" t="s">
        <v>805</v>
      </c>
      <c r="D537" s="488"/>
      <c r="E537" s="571">
        <f>E536+E530</f>
        <v>22254441.5</v>
      </c>
      <c r="F537" s="571">
        <f>F536+F530</f>
        <v>22254043.380000003</v>
      </c>
      <c r="G537" s="559">
        <f>F537/E537*100</f>
        <v>99.998211053735062</v>
      </c>
      <c r="H537" s="496">
        <v>1</v>
      </c>
      <c r="I537" s="850" t="s">
        <v>806</v>
      </c>
      <c r="J537" s="851"/>
      <c r="K537" s="851"/>
      <c r="L537" s="851"/>
      <c r="M537" s="499">
        <f>(M536+M530)/2</f>
        <v>100</v>
      </c>
      <c r="N537" s="583">
        <v>1</v>
      </c>
      <c r="O537" s="28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72"/>
      <c r="AQ537" s="72"/>
      <c r="AR537" s="72"/>
      <c r="AS537" s="72"/>
      <c r="AT537" s="72"/>
      <c r="AU537" s="72"/>
      <c r="AV537" s="72"/>
      <c r="AW537" s="72"/>
      <c r="AX537" s="72"/>
      <c r="AY537" s="72"/>
      <c r="AZ537" s="72"/>
      <c r="BA537" s="72"/>
      <c r="BB537" s="72"/>
      <c r="BC537" s="72"/>
      <c r="BD537" s="72"/>
      <c r="BE537" s="72"/>
      <c r="BF537" s="72"/>
      <c r="BG537" s="72"/>
      <c r="BH537" s="72"/>
      <c r="BI537" s="72"/>
      <c r="BJ537" s="72"/>
      <c r="BK537" s="72"/>
      <c r="BL537" s="72"/>
      <c r="BM537" s="72"/>
      <c r="BN537" s="72"/>
      <c r="BO537" s="72"/>
      <c r="BP537" s="72"/>
      <c r="BQ537" s="72"/>
      <c r="BR537" s="72"/>
      <c r="BS537" s="72"/>
      <c r="BT537" s="72"/>
      <c r="BU537" s="72"/>
      <c r="BV537" s="72"/>
      <c r="BW537" s="72"/>
      <c r="BX537" s="72"/>
      <c r="BY537" s="72"/>
      <c r="BZ537" s="72"/>
      <c r="CA537" s="72"/>
      <c r="CB537" s="72"/>
      <c r="CC537" s="72"/>
      <c r="CD537" s="72"/>
      <c r="CE537" s="72"/>
      <c r="CF537" s="72"/>
      <c r="CG537" s="72"/>
      <c r="CH537" s="72"/>
      <c r="CI537" s="72"/>
      <c r="CJ537" s="72"/>
      <c r="CK537" s="72"/>
      <c r="CL537" s="72"/>
      <c r="CM537" s="72"/>
      <c r="CN537" s="72"/>
      <c r="CO537" s="72"/>
      <c r="CP537" s="72"/>
      <c r="CQ537" s="72"/>
      <c r="CR537" s="72"/>
      <c r="CS537" s="72"/>
      <c r="CT537" s="72"/>
      <c r="CU537" s="72"/>
      <c r="CV537" s="72"/>
      <c r="CW537" s="72"/>
      <c r="CX537" s="72"/>
      <c r="CY537" s="72"/>
      <c r="CZ537" s="72"/>
      <c r="DA537" s="72"/>
      <c r="DB537" s="72"/>
      <c r="DC537" s="72"/>
      <c r="DD537" s="72"/>
      <c r="DE537" s="72"/>
      <c r="DF537" s="72"/>
      <c r="DG537" s="72"/>
      <c r="DH537" s="72"/>
      <c r="DI537" s="72"/>
      <c r="DJ537" s="72"/>
      <c r="DK537" s="72"/>
      <c r="DL537" s="72"/>
      <c r="DM537" s="72"/>
      <c r="DN537" s="72"/>
      <c r="DO537" s="72"/>
      <c r="DP537" s="72"/>
      <c r="DQ537" s="72"/>
      <c r="DR537" s="72"/>
      <c r="DS537" s="72"/>
      <c r="DT537" s="72"/>
      <c r="DU537" s="72"/>
      <c r="DV537" s="72"/>
      <c r="DW537" s="72"/>
      <c r="DX537" s="72"/>
      <c r="DY537" s="72"/>
      <c r="DZ537" s="72"/>
      <c r="EA537" s="72"/>
      <c r="EB537" s="72"/>
      <c r="EC537" s="72"/>
      <c r="ED537" s="72"/>
      <c r="EE537" s="72"/>
      <c r="EF537" s="72"/>
      <c r="EG537" s="72"/>
      <c r="EH537" s="72"/>
      <c r="EI537" s="72"/>
      <c r="EJ537" s="72"/>
      <c r="EK537" s="72"/>
      <c r="EL537" s="72"/>
      <c r="EM537" s="72"/>
      <c r="EN537" s="72"/>
    </row>
    <row r="538" spans="2:144" s="65" customFormat="1" ht="33" customHeight="1">
      <c r="B538" s="133"/>
      <c r="C538" s="162" t="s">
        <v>516</v>
      </c>
      <c r="D538" s="500"/>
      <c r="E538" s="774">
        <v>4261380</v>
      </c>
      <c r="F538" s="774">
        <v>4261380</v>
      </c>
      <c r="G538" s="399"/>
      <c r="H538" s="437"/>
      <c r="I538" s="134"/>
      <c r="J538" s="134"/>
      <c r="K538" s="134"/>
      <c r="L538" s="134"/>
      <c r="M538" s="110"/>
      <c r="N538" s="915"/>
      <c r="O538" s="28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72"/>
      <c r="AQ538" s="72"/>
      <c r="AR538" s="72"/>
      <c r="AS538" s="72"/>
      <c r="AT538" s="72"/>
      <c r="AU538" s="72"/>
      <c r="AV538" s="72"/>
      <c r="AW538" s="72"/>
      <c r="AX538" s="72"/>
      <c r="AY538" s="72"/>
      <c r="AZ538" s="72"/>
      <c r="BA538" s="72"/>
      <c r="BB538" s="72"/>
      <c r="BC538" s="72"/>
      <c r="BD538" s="72"/>
      <c r="BE538" s="72"/>
      <c r="BF538" s="72"/>
      <c r="BG538" s="72"/>
      <c r="BH538" s="72"/>
      <c r="BI538" s="72"/>
      <c r="BJ538" s="72"/>
      <c r="BK538" s="72"/>
      <c r="BL538" s="72"/>
      <c r="BM538" s="72"/>
      <c r="BN538" s="72"/>
      <c r="BO538" s="72"/>
      <c r="BP538" s="72"/>
      <c r="BQ538" s="72"/>
      <c r="BR538" s="72"/>
      <c r="BS538" s="72"/>
      <c r="BT538" s="72"/>
      <c r="BU538" s="72"/>
      <c r="BV538" s="72"/>
      <c r="BW538" s="72"/>
      <c r="BX538" s="72"/>
      <c r="BY538" s="72"/>
      <c r="BZ538" s="72"/>
      <c r="CA538" s="72"/>
      <c r="CB538" s="72"/>
      <c r="CC538" s="72"/>
      <c r="CD538" s="72"/>
      <c r="CE538" s="72"/>
      <c r="CF538" s="72"/>
      <c r="CG538" s="72"/>
      <c r="CH538" s="72"/>
      <c r="CI538" s="72"/>
      <c r="CJ538" s="72"/>
      <c r="CK538" s="72"/>
      <c r="CL538" s="72"/>
      <c r="CM538" s="72"/>
      <c r="CN538" s="72"/>
      <c r="CO538" s="72"/>
      <c r="CP538" s="72"/>
      <c r="CQ538" s="72"/>
      <c r="CR538" s="72"/>
      <c r="CS538" s="72"/>
      <c r="CT538" s="72"/>
      <c r="CU538" s="72"/>
      <c r="CV538" s="72"/>
      <c r="CW538" s="72"/>
      <c r="CX538" s="72"/>
      <c r="CY538" s="72"/>
      <c r="CZ538" s="72"/>
      <c r="DA538" s="72"/>
      <c r="DB538" s="72"/>
      <c r="DC538" s="72"/>
      <c r="DD538" s="72"/>
      <c r="DE538" s="72"/>
      <c r="DF538" s="72"/>
      <c r="DG538" s="72"/>
      <c r="DH538" s="72"/>
      <c r="DI538" s="72"/>
      <c r="DJ538" s="72"/>
      <c r="DK538" s="72"/>
      <c r="DL538" s="72"/>
      <c r="DM538" s="72"/>
      <c r="DN538" s="72"/>
      <c r="DO538" s="72"/>
      <c r="DP538" s="72"/>
      <c r="DQ538" s="72"/>
      <c r="DR538" s="72"/>
      <c r="DS538" s="72"/>
      <c r="DT538" s="72"/>
      <c r="DU538" s="72"/>
      <c r="DV538" s="72"/>
      <c r="DW538" s="72"/>
      <c r="DX538" s="72"/>
      <c r="DY538" s="72"/>
      <c r="DZ538" s="72"/>
      <c r="EA538" s="72"/>
      <c r="EB538" s="72"/>
      <c r="EC538" s="72"/>
      <c r="ED538" s="72"/>
      <c r="EE538" s="72"/>
      <c r="EF538" s="72"/>
      <c r="EG538" s="72"/>
      <c r="EH538" s="72"/>
      <c r="EI538" s="72"/>
      <c r="EJ538" s="72"/>
      <c r="EK538" s="72"/>
      <c r="EL538" s="72"/>
      <c r="EM538" s="72"/>
      <c r="EN538" s="72"/>
    </row>
    <row r="539" spans="2:144" s="65" customFormat="1" ht="33" customHeight="1">
      <c r="B539" s="133"/>
      <c r="C539" s="162" t="s">
        <v>517</v>
      </c>
      <c r="D539" s="500"/>
      <c r="E539" s="759">
        <f>G515+G523+G531</f>
        <v>0</v>
      </c>
      <c r="F539" s="759">
        <f>H515+H523+H531</f>
        <v>0</v>
      </c>
      <c r="G539" s="399"/>
      <c r="H539" s="437"/>
      <c r="I539" s="134"/>
      <c r="J539" s="134"/>
      <c r="K539" s="134"/>
      <c r="L539" s="134"/>
      <c r="M539" s="110"/>
      <c r="N539" s="915"/>
      <c r="O539" s="28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72"/>
      <c r="AQ539" s="72"/>
      <c r="AR539" s="72"/>
      <c r="AS539" s="72"/>
      <c r="AT539" s="72"/>
      <c r="AU539" s="72"/>
      <c r="AV539" s="72"/>
      <c r="AW539" s="72"/>
      <c r="AX539" s="72"/>
      <c r="AY539" s="72"/>
      <c r="AZ539" s="72"/>
      <c r="BA539" s="72"/>
      <c r="BB539" s="72"/>
      <c r="BC539" s="72"/>
      <c r="BD539" s="72"/>
      <c r="BE539" s="72"/>
      <c r="BF539" s="72"/>
      <c r="BG539" s="72"/>
      <c r="BH539" s="72"/>
      <c r="BI539" s="72"/>
      <c r="BJ539" s="72"/>
      <c r="BK539" s="72"/>
      <c r="BL539" s="72"/>
      <c r="BM539" s="72"/>
      <c r="BN539" s="72"/>
      <c r="BO539" s="72"/>
      <c r="BP539" s="72"/>
      <c r="BQ539" s="72"/>
      <c r="BR539" s="72"/>
      <c r="BS539" s="72"/>
      <c r="BT539" s="72"/>
      <c r="BU539" s="72"/>
      <c r="BV539" s="72"/>
      <c r="BW539" s="72"/>
      <c r="BX539" s="72"/>
      <c r="BY539" s="72"/>
      <c r="BZ539" s="72"/>
      <c r="CA539" s="72"/>
      <c r="CB539" s="72"/>
      <c r="CC539" s="72"/>
      <c r="CD539" s="72"/>
      <c r="CE539" s="72"/>
      <c r="CF539" s="72"/>
      <c r="CG539" s="72"/>
      <c r="CH539" s="72"/>
      <c r="CI539" s="72"/>
      <c r="CJ539" s="72"/>
      <c r="CK539" s="72"/>
      <c r="CL539" s="72"/>
      <c r="CM539" s="72"/>
      <c r="CN539" s="72"/>
      <c r="CO539" s="72"/>
      <c r="CP539" s="72"/>
      <c r="CQ539" s="72"/>
      <c r="CR539" s="72"/>
      <c r="CS539" s="72"/>
      <c r="CT539" s="72"/>
      <c r="CU539" s="72"/>
      <c r="CV539" s="72"/>
      <c r="CW539" s="72"/>
      <c r="CX539" s="72"/>
      <c r="CY539" s="72"/>
      <c r="CZ539" s="72"/>
      <c r="DA539" s="72"/>
      <c r="DB539" s="72"/>
      <c r="DC539" s="72"/>
      <c r="DD539" s="72"/>
      <c r="DE539" s="72"/>
      <c r="DF539" s="72"/>
      <c r="DG539" s="72"/>
      <c r="DH539" s="72"/>
      <c r="DI539" s="72"/>
      <c r="DJ539" s="72"/>
      <c r="DK539" s="72"/>
      <c r="DL539" s="72"/>
      <c r="DM539" s="72"/>
      <c r="DN539" s="72"/>
      <c r="DO539" s="72"/>
      <c r="DP539" s="72"/>
      <c r="DQ539" s="72"/>
      <c r="DR539" s="72"/>
      <c r="DS539" s="72"/>
      <c r="DT539" s="72"/>
      <c r="DU539" s="72"/>
      <c r="DV539" s="72"/>
      <c r="DW539" s="72"/>
      <c r="DX539" s="72"/>
      <c r="DY539" s="72"/>
      <c r="DZ539" s="72"/>
      <c r="EA539" s="72"/>
      <c r="EB539" s="72"/>
      <c r="EC539" s="72"/>
      <c r="ED539" s="72"/>
      <c r="EE539" s="72"/>
      <c r="EF539" s="72"/>
      <c r="EG539" s="72"/>
      <c r="EH539" s="72"/>
      <c r="EI539" s="72"/>
      <c r="EJ539" s="72"/>
      <c r="EK539" s="72"/>
      <c r="EL539" s="72"/>
      <c r="EM539" s="72"/>
      <c r="EN539" s="72"/>
    </row>
    <row r="540" spans="2:144" s="65" customFormat="1" ht="33" customHeight="1">
      <c r="B540" s="133"/>
      <c r="C540" s="162" t="s">
        <v>518</v>
      </c>
      <c r="D540" s="500"/>
      <c r="E540" s="759"/>
      <c r="F540" s="759"/>
      <c r="G540" s="399"/>
      <c r="H540" s="437"/>
      <c r="I540" s="134"/>
      <c r="J540" s="134"/>
      <c r="K540" s="134"/>
      <c r="L540" s="134"/>
      <c r="M540" s="110"/>
      <c r="N540" s="915"/>
      <c r="O540" s="28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72"/>
      <c r="AQ540" s="72"/>
      <c r="AR540" s="72"/>
      <c r="AS540" s="72"/>
      <c r="AT540" s="72"/>
      <c r="AU540" s="72"/>
      <c r="AV540" s="72"/>
      <c r="AW540" s="72"/>
      <c r="AX540" s="72"/>
      <c r="AY540" s="72"/>
      <c r="AZ540" s="72"/>
      <c r="BA540" s="72"/>
      <c r="BB540" s="72"/>
      <c r="BC540" s="72"/>
      <c r="BD540" s="72"/>
      <c r="BE540" s="72"/>
      <c r="BF540" s="72"/>
      <c r="BG540" s="72"/>
      <c r="BH540" s="72"/>
      <c r="BI540" s="72"/>
      <c r="BJ540" s="72"/>
      <c r="BK540" s="72"/>
      <c r="BL540" s="72"/>
      <c r="BM540" s="72"/>
      <c r="BN540" s="72"/>
      <c r="BO540" s="72"/>
      <c r="BP540" s="72"/>
      <c r="BQ540" s="72"/>
      <c r="BR540" s="72"/>
      <c r="BS540" s="72"/>
      <c r="BT540" s="72"/>
      <c r="BU540" s="72"/>
      <c r="BV540" s="72"/>
      <c r="BW540" s="72"/>
      <c r="BX540" s="72"/>
      <c r="BY540" s="72"/>
      <c r="BZ540" s="72"/>
      <c r="CA540" s="72"/>
      <c r="CB540" s="72"/>
      <c r="CC540" s="72"/>
      <c r="CD540" s="72"/>
      <c r="CE540" s="72"/>
      <c r="CF540" s="72"/>
      <c r="CG540" s="72"/>
      <c r="CH540" s="72"/>
      <c r="CI540" s="72"/>
      <c r="CJ540" s="72"/>
      <c r="CK540" s="72"/>
      <c r="CL540" s="72"/>
      <c r="CM540" s="72"/>
      <c r="CN540" s="72"/>
      <c r="CO540" s="72"/>
      <c r="CP540" s="72"/>
      <c r="CQ540" s="72"/>
      <c r="CR540" s="72"/>
      <c r="CS540" s="72"/>
      <c r="CT540" s="72"/>
      <c r="CU540" s="72"/>
      <c r="CV540" s="72"/>
      <c r="CW540" s="72"/>
      <c r="CX540" s="72"/>
      <c r="CY540" s="72"/>
      <c r="CZ540" s="72"/>
      <c r="DA540" s="72"/>
      <c r="DB540" s="72"/>
      <c r="DC540" s="72"/>
      <c r="DD540" s="72"/>
      <c r="DE540" s="72"/>
      <c r="DF540" s="72"/>
      <c r="DG540" s="72"/>
      <c r="DH540" s="72"/>
      <c r="DI540" s="72"/>
      <c r="DJ540" s="72"/>
      <c r="DK540" s="72"/>
      <c r="DL540" s="72"/>
      <c r="DM540" s="72"/>
      <c r="DN540" s="72"/>
      <c r="DO540" s="72"/>
      <c r="DP540" s="72"/>
      <c r="DQ540" s="72"/>
      <c r="DR540" s="72"/>
      <c r="DS540" s="72"/>
      <c r="DT540" s="72"/>
      <c r="DU540" s="72"/>
      <c r="DV540" s="72"/>
      <c r="DW540" s="72"/>
      <c r="DX540" s="72"/>
      <c r="DY540" s="72"/>
      <c r="DZ540" s="72"/>
      <c r="EA540" s="72"/>
      <c r="EB540" s="72"/>
      <c r="EC540" s="72"/>
      <c r="ED540" s="72"/>
      <c r="EE540" s="72"/>
      <c r="EF540" s="72"/>
      <c r="EG540" s="72"/>
      <c r="EH540" s="72"/>
      <c r="EI540" s="72"/>
      <c r="EJ540" s="72"/>
      <c r="EK540" s="72"/>
      <c r="EL540" s="72"/>
      <c r="EM540" s="72"/>
      <c r="EN540" s="72"/>
    </row>
    <row r="541" spans="2:144" s="65" customFormat="1" ht="33" customHeight="1">
      <c r="B541" s="133"/>
      <c r="C541" s="162" t="s">
        <v>519</v>
      </c>
      <c r="D541" s="500"/>
      <c r="E541" s="522"/>
      <c r="F541" s="522"/>
      <c r="G541" s="399"/>
      <c r="H541" s="437"/>
      <c r="I541" s="134"/>
      <c r="J541" s="134"/>
      <c r="K541" s="134"/>
      <c r="L541" s="134"/>
      <c r="M541" s="110"/>
      <c r="N541" s="915"/>
      <c r="O541" s="28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72"/>
      <c r="AQ541" s="72"/>
      <c r="AR541" s="72"/>
      <c r="AS541" s="72"/>
      <c r="AT541" s="72"/>
      <c r="AU541" s="72"/>
      <c r="AV541" s="72"/>
      <c r="AW541" s="72"/>
      <c r="AX541" s="72"/>
      <c r="AY541" s="72"/>
      <c r="AZ541" s="72"/>
      <c r="BA541" s="72"/>
      <c r="BB541" s="72"/>
      <c r="BC541" s="72"/>
      <c r="BD541" s="72"/>
      <c r="BE541" s="72"/>
      <c r="BF541" s="72"/>
      <c r="BG541" s="72"/>
      <c r="BH541" s="72"/>
      <c r="BI541" s="72"/>
      <c r="BJ541" s="72"/>
      <c r="BK541" s="72"/>
      <c r="BL541" s="72"/>
      <c r="BM541" s="72"/>
      <c r="BN541" s="72"/>
      <c r="BO541" s="72"/>
      <c r="BP541" s="72"/>
      <c r="BQ541" s="72"/>
      <c r="BR541" s="72"/>
      <c r="BS541" s="72"/>
      <c r="BT541" s="72"/>
      <c r="BU541" s="72"/>
      <c r="BV541" s="72"/>
      <c r="BW541" s="72"/>
      <c r="BX541" s="72"/>
      <c r="BY541" s="72"/>
      <c r="BZ541" s="72"/>
      <c r="CA541" s="72"/>
      <c r="CB541" s="72"/>
      <c r="CC541" s="72"/>
      <c r="CD541" s="72"/>
      <c r="CE541" s="72"/>
      <c r="CF541" s="72"/>
      <c r="CG541" s="72"/>
      <c r="CH541" s="72"/>
      <c r="CI541" s="72"/>
      <c r="CJ541" s="72"/>
      <c r="CK541" s="72"/>
      <c r="CL541" s="72"/>
      <c r="CM541" s="72"/>
      <c r="CN541" s="72"/>
      <c r="CO541" s="72"/>
      <c r="CP541" s="72"/>
      <c r="CQ541" s="72"/>
      <c r="CR541" s="72"/>
      <c r="CS541" s="72"/>
      <c r="CT541" s="72"/>
      <c r="CU541" s="72"/>
      <c r="CV541" s="72"/>
      <c r="CW541" s="72"/>
      <c r="CX541" s="72"/>
      <c r="CY541" s="72"/>
      <c r="CZ541" s="72"/>
      <c r="DA541" s="72"/>
      <c r="DB541" s="72"/>
      <c r="DC541" s="72"/>
      <c r="DD541" s="72"/>
      <c r="DE541" s="72"/>
      <c r="DF541" s="72"/>
      <c r="DG541" s="72"/>
      <c r="DH541" s="72"/>
      <c r="DI541" s="72"/>
      <c r="DJ541" s="72"/>
      <c r="DK541" s="72"/>
      <c r="DL541" s="72"/>
      <c r="DM541" s="72"/>
      <c r="DN541" s="72"/>
      <c r="DO541" s="72"/>
      <c r="DP541" s="72"/>
      <c r="DQ541" s="72"/>
      <c r="DR541" s="72"/>
      <c r="DS541" s="72"/>
      <c r="DT541" s="72"/>
      <c r="DU541" s="72"/>
      <c r="DV541" s="72"/>
      <c r="DW541" s="72"/>
      <c r="DX541" s="72"/>
      <c r="DY541" s="72"/>
      <c r="DZ541" s="72"/>
      <c r="EA541" s="72"/>
      <c r="EB541" s="72"/>
      <c r="EC541" s="72"/>
      <c r="ED541" s="72"/>
      <c r="EE541" s="72"/>
      <c r="EF541" s="72"/>
      <c r="EG541" s="72"/>
      <c r="EH541" s="72"/>
      <c r="EI541" s="72"/>
      <c r="EJ541" s="72"/>
      <c r="EK541" s="72"/>
      <c r="EL541" s="72"/>
      <c r="EM541" s="72"/>
      <c r="EN541" s="72"/>
    </row>
    <row r="542" spans="2:144" ht="40.5">
      <c r="B542" s="608"/>
      <c r="C542" s="609" t="s">
        <v>568</v>
      </c>
      <c r="D542" s="608"/>
      <c r="E542" s="773">
        <f>E537+E521+E514+E504+E468+E417+E383+E351+E308+E262+E231+E160+E115</f>
        <v>717299062.94000006</v>
      </c>
      <c r="F542" s="773">
        <f>F537+F521+F514+F504+F468+F417+F383+F351+F308+F262+F231+F160+F115</f>
        <v>704182772.80000007</v>
      </c>
      <c r="G542" s="610">
        <f>F542/E542*100</f>
        <v>98.171433532027748</v>
      </c>
      <c r="H542" s="611">
        <f>G542/100</f>
        <v>0.98171433532027752</v>
      </c>
      <c r="I542" s="823" t="s">
        <v>569</v>
      </c>
      <c r="J542" s="824"/>
      <c r="K542" s="824"/>
      <c r="L542" s="824"/>
      <c r="M542" s="612">
        <f>(M537+M521+M514+M504+M468+M417+M383+M351+M308+M262+M231+M160+M115)/13</f>
        <v>102.75036969839265</v>
      </c>
      <c r="N542" s="613">
        <f>M542/100</f>
        <v>1.0275036969839264</v>
      </c>
    </row>
    <row r="543" spans="2:144" ht="20.25">
      <c r="B543" s="608"/>
      <c r="C543" s="614" t="s">
        <v>516</v>
      </c>
      <c r="D543" s="615" t="s">
        <v>532</v>
      </c>
      <c r="E543" s="760">
        <f>E538+E522+E515+E505+E469+E418+E384+E352+E309+E263+E232+E161+E116</f>
        <v>34351360.82</v>
      </c>
      <c r="F543" s="760">
        <f>F538+F522+F515+F505+F469+F418+F384+F352+F309+F263+F232+F161+F116</f>
        <v>33876160.82</v>
      </c>
      <c r="G543" s="617"/>
      <c r="H543" s="618"/>
      <c r="I543" s="619"/>
      <c r="J543" s="619"/>
      <c r="K543" s="619"/>
      <c r="L543" s="619"/>
      <c r="M543" s="620"/>
      <c r="N543" s="918"/>
    </row>
    <row r="544" spans="2:144" ht="20.25">
      <c r="B544" s="608"/>
      <c r="C544" s="614" t="s">
        <v>517</v>
      </c>
      <c r="D544" s="615" t="s">
        <v>329</v>
      </c>
      <c r="E544" s="616">
        <f>E516+E506+E470+E419+E385+E353+E310+E264+E233+E162+E117</f>
        <v>341427438.75</v>
      </c>
      <c r="F544" s="616">
        <f>F516+F506+F470+F419+F385+F353+F310+F264+F233+F162+F117</f>
        <v>336853929.25</v>
      </c>
      <c r="G544" s="617"/>
      <c r="H544" s="618"/>
      <c r="I544" s="619"/>
      <c r="J544" s="619"/>
      <c r="K544" s="619"/>
      <c r="L544" s="619"/>
      <c r="M544" s="620"/>
      <c r="N544" s="918"/>
    </row>
    <row r="545" spans="2:15" ht="31.5">
      <c r="B545" s="608"/>
      <c r="C545" s="614" t="s">
        <v>518</v>
      </c>
      <c r="D545" s="615" t="s">
        <v>521</v>
      </c>
      <c r="E545" s="616">
        <f>E517+E507+E471+E420+E386+E354+E311+E265+E234+E163+E118</f>
        <v>362633146.82999998</v>
      </c>
      <c r="F545" s="616">
        <f>F517+F507+F471+F420+F386+F354+F311+F265+F234+F163+F118</f>
        <v>361124865.5</v>
      </c>
      <c r="G545" s="617"/>
      <c r="H545" s="618"/>
      <c r="I545" s="619"/>
      <c r="J545" s="619"/>
      <c r="K545" s="619"/>
      <c r="L545" s="619"/>
      <c r="M545" s="620"/>
      <c r="N545" s="918"/>
    </row>
    <row r="546" spans="2:15" ht="20.25">
      <c r="B546" s="608"/>
      <c r="C546" s="614" t="s">
        <v>519</v>
      </c>
      <c r="D546" s="615" t="s">
        <v>510</v>
      </c>
      <c r="E546" s="616">
        <f>E518+E472+E421+E387+E355+E312+E266+E235+E164+E119</f>
        <v>101892880.7</v>
      </c>
      <c r="F546" s="616">
        <f>F518+F472+F421+F387+F355+F312+F266+F235+F164+F119</f>
        <v>81930910.959999993</v>
      </c>
      <c r="G546" s="617"/>
      <c r="H546" s="618"/>
      <c r="I546" s="619"/>
      <c r="J546" s="619"/>
      <c r="K546" s="619"/>
      <c r="L546" s="619"/>
      <c r="M546" s="620"/>
      <c r="N546" s="918"/>
    </row>
    <row r="547" spans="2:15" ht="30" customHeight="1">
      <c r="B547" s="621"/>
      <c r="C547" s="834" t="s">
        <v>811</v>
      </c>
      <c r="D547" s="835"/>
      <c r="E547" s="835"/>
      <c r="F547" s="835"/>
      <c r="G547" s="835"/>
      <c r="H547" s="835"/>
      <c r="I547" s="835"/>
      <c r="J547" s="835"/>
      <c r="K547" s="835"/>
      <c r="L547" s="835"/>
      <c r="M547" s="835"/>
      <c r="N547" s="835"/>
    </row>
    <row r="548" spans="2:15">
      <c r="O548" s="380"/>
    </row>
    <row r="549" spans="2:15">
      <c r="O549" s="380"/>
    </row>
    <row r="550" spans="2:15">
      <c r="O550" s="380"/>
    </row>
    <row r="551" spans="2:15">
      <c r="O551" s="380"/>
    </row>
    <row r="552" spans="2:15">
      <c r="O552" s="380"/>
    </row>
    <row r="553" spans="2:15">
      <c r="O553" s="380"/>
    </row>
    <row r="554" spans="2:15">
      <c r="O554" s="380"/>
    </row>
    <row r="555" spans="2:15">
      <c r="O555" s="380"/>
    </row>
    <row r="556" spans="2:15">
      <c r="O556" s="380"/>
    </row>
    <row r="557" spans="2:15">
      <c r="O557" s="380"/>
    </row>
    <row r="558" spans="2:15">
      <c r="O558" s="380"/>
    </row>
    <row r="559" spans="2:15">
      <c r="O559" s="380"/>
    </row>
    <row r="560" spans="2:15">
      <c r="O560" s="380"/>
    </row>
    <row r="561" spans="15:15">
      <c r="O561" s="380"/>
    </row>
    <row r="562" spans="15:15">
      <c r="O562" s="380"/>
    </row>
    <row r="563" spans="15:15">
      <c r="O563" s="380"/>
    </row>
    <row r="564" spans="15:15">
      <c r="O564" s="380"/>
    </row>
    <row r="565" spans="15:15">
      <c r="O565" s="380"/>
    </row>
    <row r="566" spans="15:15">
      <c r="O566" s="380"/>
    </row>
    <row r="567" spans="15:15">
      <c r="O567" s="380"/>
    </row>
    <row r="568" spans="15:15">
      <c r="O568" s="380"/>
    </row>
    <row r="569" spans="15:15">
      <c r="O569" s="380"/>
    </row>
    <row r="570" spans="15:15">
      <c r="O570" s="380"/>
    </row>
    <row r="571" spans="15:15">
      <c r="O571" s="380"/>
    </row>
    <row r="572" spans="15:15">
      <c r="O572" s="380"/>
    </row>
    <row r="573" spans="15:15">
      <c r="O573" s="380"/>
    </row>
    <row r="574" spans="15:15">
      <c r="O574" s="380"/>
    </row>
    <row r="575" spans="15:15">
      <c r="O575" s="380"/>
    </row>
    <row r="576" spans="15:15">
      <c r="O576" s="380"/>
    </row>
    <row r="577" spans="15:15">
      <c r="O577" s="380"/>
    </row>
    <row r="578" spans="15:15">
      <c r="O578" s="380"/>
    </row>
    <row r="579" spans="15:15">
      <c r="O579" s="380"/>
    </row>
    <row r="580" spans="15:15">
      <c r="O580" s="380"/>
    </row>
    <row r="581" spans="15:15">
      <c r="O581" s="380"/>
    </row>
    <row r="582" spans="15:15">
      <c r="O582" s="380"/>
    </row>
    <row r="583" spans="15:15">
      <c r="O583" s="380"/>
    </row>
    <row r="584" spans="15:15">
      <c r="O584" s="379"/>
    </row>
  </sheetData>
  <mergeCells count="251">
    <mergeCell ref="I282:L282"/>
    <mergeCell ref="C244:M244"/>
    <mergeCell ref="I521:L521"/>
    <mergeCell ref="C527:N527"/>
    <mergeCell ref="C528:N528"/>
    <mergeCell ref="C531:N531"/>
    <mergeCell ref="I537:L537"/>
    <mergeCell ref="C499:N499"/>
    <mergeCell ref="C245:N245"/>
    <mergeCell ref="C378:N378"/>
    <mergeCell ref="I514:L514"/>
    <mergeCell ref="C508:N508"/>
    <mergeCell ref="C526:N526"/>
    <mergeCell ref="C425:N425"/>
    <mergeCell ref="C408:N408"/>
    <mergeCell ref="I351:L351"/>
    <mergeCell ref="C424:N424"/>
    <mergeCell ref="C423:N423"/>
    <mergeCell ref="I383:L383"/>
    <mergeCell ref="C362:N362"/>
    <mergeCell ref="C363:N363"/>
    <mergeCell ref="C519:N519"/>
    <mergeCell ref="I280:L280"/>
    <mergeCell ref="I281:L281"/>
    <mergeCell ref="I279:L279"/>
    <mergeCell ref="I262:L262"/>
    <mergeCell ref="C196:N196"/>
    <mergeCell ref="C197:N197"/>
    <mergeCell ref="C198:N198"/>
    <mergeCell ref="C199:N199"/>
    <mergeCell ref="C222:L222"/>
    <mergeCell ref="C229:L229"/>
    <mergeCell ref="C230:L230"/>
    <mergeCell ref="I225:L225"/>
    <mergeCell ref="C223:N223"/>
    <mergeCell ref="C202:N202"/>
    <mergeCell ref="C204:N204"/>
    <mergeCell ref="C212:H212"/>
    <mergeCell ref="C220:N220"/>
    <mergeCell ref="C200:N200"/>
    <mergeCell ref="C203:N203"/>
    <mergeCell ref="I234:L234"/>
    <mergeCell ref="I235:L235"/>
    <mergeCell ref="C236:N236"/>
    <mergeCell ref="C253:N253"/>
    <mergeCell ref="C239:N239"/>
    <mergeCell ref="C240:N240"/>
    <mergeCell ref="C241:N241"/>
    <mergeCell ref="C242:N242"/>
    <mergeCell ref="C104:N104"/>
    <mergeCell ref="C329:N329"/>
    <mergeCell ref="C330:N330"/>
    <mergeCell ref="C272:N272"/>
    <mergeCell ref="C267:N267"/>
    <mergeCell ref="C273:N273"/>
    <mergeCell ref="C274:N274"/>
    <mergeCell ref="C275:N275"/>
    <mergeCell ref="C278:N278"/>
    <mergeCell ref="I308:L308"/>
    <mergeCell ref="I231:L231"/>
    <mergeCell ref="C237:N237"/>
    <mergeCell ref="C254:N254"/>
    <mergeCell ref="C238:N238"/>
    <mergeCell ref="C170:N170"/>
    <mergeCell ref="C177:I177"/>
    <mergeCell ref="C178:L178"/>
    <mergeCell ref="C243:N243"/>
    <mergeCell ref="C185:I185"/>
    <mergeCell ref="C246:N246"/>
    <mergeCell ref="C252:N252"/>
    <mergeCell ref="C221:O221"/>
    <mergeCell ref="C201:N201"/>
    <mergeCell ref="I192:L192"/>
    <mergeCell ref="C187:L187"/>
    <mergeCell ref="C167:M167"/>
    <mergeCell ref="C168:N168"/>
    <mergeCell ref="C169:N169"/>
    <mergeCell ref="C136:N136"/>
    <mergeCell ref="C137:N137"/>
    <mergeCell ref="C138:N138"/>
    <mergeCell ref="C139:N139"/>
    <mergeCell ref="C147:N147"/>
    <mergeCell ref="C148:N148"/>
    <mergeCell ref="C179:L179"/>
    <mergeCell ref="C149:N149"/>
    <mergeCell ref="C150:N150"/>
    <mergeCell ref="C151:N151"/>
    <mergeCell ref="C152:N152"/>
    <mergeCell ref="C186:L186"/>
    <mergeCell ref="I160:L160"/>
    <mergeCell ref="I163:L163"/>
    <mergeCell ref="I164:L164"/>
    <mergeCell ref="C165:N165"/>
    <mergeCell ref="C128:N128"/>
    <mergeCell ref="C92:L92"/>
    <mergeCell ref="C93:L93"/>
    <mergeCell ref="C69:L69"/>
    <mergeCell ref="C70:L70"/>
    <mergeCell ref="C74:L74"/>
    <mergeCell ref="C75:L75"/>
    <mergeCell ref="C76:L76"/>
    <mergeCell ref="C78:L78"/>
    <mergeCell ref="N81:N82"/>
    <mergeCell ref="C84:N84"/>
    <mergeCell ref="I115:L115"/>
    <mergeCell ref="I116:L116"/>
    <mergeCell ref="I119:L119"/>
    <mergeCell ref="C120:N120"/>
    <mergeCell ref="C85:L85"/>
    <mergeCell ref="C86:L86"/>
    <mergeCell ref="C106:N106"/>
    <mergeCell ref="C121:N121"/>
    <mergeCell ref="C124:N124"/>
    <mergeCell ref="C125:N125"/>
    <mergeCell ref="C123:N123"/>
    <mergeCell ref="C126:N126"/>
    <mergeCell ref="C103:M103"/>
    <mergeCell ref="C19:N19"/>
    <mergeCell ref="C54:L54"/>
    <mergeCell ref="C58:L58"/>
    <mergeCell ref="C60:L60"/>
    <mergeCell ref="C63:L63"/>
    <mergeCell ref="C65:L65"/>
    <mergeCell ref="C13:N13"/>
    <mergeCell ref="C14:N14"/>
    <mergeCell ref="C15:N15"/>
    <mergeCell ref="C52:N52"/>
    <mergeCell ref="C53:L53"/>
    <mergeCell ref="B3:N3"/>
    <mergeCell ref="B5:B6"/>
    <mergeCell ref="C5:C6"/>
    <mergeCell ref="D5:H5"/>
    <mergeCell ref="I5:N5"/>
    <mergeCell ref="C7:N7"/>
    <mergeCell ref="C16:N16"/>
    <mergeCell ref="C17:N17"/>
    <mergeCell ref="C18:N18"/>
    <mergeCell ref="C68:N68"/>
    <mergeCell ref="C8:N8"/>
    <mergeCell ref="C356:N356"/>
    <mergeCell ref="I504:L504"/>
    <mergeCell ref="C389:N389"/>
    <mergeCell ref="C390:N390"/>
    <mergeCell ref="C430:N430"/>
    <mergeCell ref="C431:N431"/>
    <mergeCell ref="C432:N432"/>
    <mergeCell ref="C433:N433"/>
    <mergeCell ref="C464:N464"/>
    <mergeCell ref="C473:N473"/>
    <mergeCell ref="C450:N450"/>
    <mergeCell ref="C451:N451"/>
    <mergeCell ref="C452:N452"/>
    <mergeCell ref="C478:N478"/>
    <mergeCell ref="C357:L357"/>
    <mergeCell ref="C283:N283"/>
    <mergeCell ref="C284:N284"/>
    <mergeCell ref="C94:L94"/>
    <mergeCell ref="C122:N122"/>
    <mergeCell ref="C127:N127"/>
    <mergeCell ref="C105:N105"/>
    <mergeCell ref="C295:N295"/>
    <mergeCell ref="C547:N547"/>
    <mergeCell ref="C377:N377"/>
    <mergeCell ref="C293:N293"/>
    <mergeCell ref="C294:N294"/>
    <mergeCell ref="C388:N388"/>
    <mergeCell ref="C364:N364"/>
    <mergeCell ref="C411:N411"/>
    <mergeCell ref="I468:L468"/>
    <mergeCell ref="C313:N313"/>
    <mergeCell ref="C315:N315"/>
    <mergeCell ref="C316:N316"/>
    <mergeCell ref="C314:L314"/>
    <mergeCell ref="C302:N302"/>
    <mergeCell ref="C303:N303"/>
    <mergeCell ref="C339:N339"/>
    <mergeCell ref="C340:N340"/>
    <mergeCell ref="C509:M509"/>
    <mergeCell ref="C510:N510"/>
    <mergeCell ref="C511:N511"/>
    <mergeCell ref="C495:N495"/>
    <mergeCell ref="C428:N428"/>
    <mergeCell ref="C337:N337"/>
    <mergeCell ref="C338:N338"/>
    <mergeCell ref="C323:N323"/>
    <mergeCell ref="I542:L542"/>
    <mergeCell ref="C286:N286"/>
    <mergeCell ref="C287:N287"/>
    <mergeCell ref="C462:N462"/>
    <mergeCell ref="C492:N492"/>
    <mergeCell ref="C493:N493"/>
    <mergeCell ref="C494:N494"/>
    <mergeCell ref="C480:N480"/>
    <mergeCell ref="C481:N481"/>
    <mergeCell ref="C482:N482"/>
    <mergeCell ref="C483:N483"/>
    <mergeCell ref="C484:N484"/>
    <mergeCell ref="C485:N485"/>
    <mergeCell ref="C479:M479"/>
    <mergeCell ref="C474:N474"/>
    <mergeCell ref="C475:N475"/>
    <mergeCell ref="C328:N328"/>
    <mergeCell ref="C288:N288"/>
    <mergeCell ref="C289:N289"/>
    <mergeCell ref="C366:M366"/>
    <mergeCell ref="C322:N322"/>
    <mergeCell ref="C317:N317"/>
    <mergeCell ref="C358:M358"/>
    <mergeCell ref="C359:M359"/>
    <mergeCell ref="C290:N290"/>
    <mergeCell ref="C285:N285"/>
    <mergeCell ref="C440:N440"/>
    <mergeCell ref="C331:N331"/>
    <mergeCell ref="C301:N301"/>
    <mergeCell ref="C426:N426"/>
    <mergeCell ref="C427:N427"/>
    <mergeCell ref="I417:L417"/>
    <mergeCell ref="C391:N391"/>
    <mergeCell ref="C392:N392"/>
    <mergeCell ref="C393:N393"/>
    <mergeCell ref="C394:N394"/>
    <mergeCell ref="C395:N395"/>
    <mergeCell ref="C396:N396"/>
    <mergeCell ref="C397:N397"/>
    <mergeCell ref="C422:N422"/>
    <mergeCell ref="C410:N410"/>
    <mergeCell ref="C409:N409"/>
    <mergeCell ref="C476:N476"/>
    <mergeCell ref="C477:N477"/>
    <mergeCell ref="C332:N332"/>
    <mergeCell ref="C429:N429"/>
    <mergeCell ref="C463:N463"/>
    <mergeCell ref="C453:N453"/>
    <mergeCell ref="C318:N318"/>
    <mergeCell ref="C319:N319"/>
    <mergeCell ref="C320:N320"/>
    <mergeCell ref="C321:N321"/>
    <mergeCell ref="C441:N441"/>
    <mergeCell ref="C442:N442"/>
    <mergeCell ref="C443:N443"/>
    <mergeCell ref="C444:N444"/>
    <mergeCell ref="C448:N448"/>
    <mergeCell ref="C449:N449"/>
    <mergeCell ref="C412:N412"/>
    <mergeCell ref="C407:N407"/>
    <mergeCell ref="C374:M374"/>
    <mergeCell ref="C375:M375"/>
    <mergeCell ref="C376:M376"/>
    <mergeCell ref="C365:L365"/>
    <mergeCell ref="C360:M360"/>
    <mergeCell ref="A361:XFD36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2023-03-29T03:23:51Z</dcterms:modified>
</cp:coreProperties>
</file>